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06-Comm&amp;IR\2024\2024 Annual Report\Website\Website - Fichiers source\With injection\"/>
    </mc:Choice>
  </mc:AlternateContent>
  <xr:revisionPtr revIDLastSave="0" documentId="13_ncr:1_{A624D741-6A36-4E7B-BD0F-9342495A90A9}" xr6:coauthVersionLast="47" xr6:coauthVersionMax="47" xr10:uidLastSave="{00000000-0000-0000-0000-000000000000}"/>
  <bookViews>
    <workbookView xWindow="35175" yWindow="4065" windowWidth="21600" windowHeight="11235" firstSheet="21" activeTab="26" xr2:uid="{00000000-000D-0000-FFFF-FFFF00000000}"/>
  </bookViews>
  <sheets>
    <sheet name="1998" sheetId="1" r:id="rId1"/>
    <sheet name="1999" sheetId="2" r:id="rId2"/>
    <sheet name="2000" sheetId="3" r:id="rId3"/>
    <sheet name="2001" sheetId="4" r:id="rId4"/>
    <sheet name="2002" sheetId="5" r:id="rId5"/>
    <sheet name="2003" sheetId="7" r:id="rId6"/>
    <sheet name="2004" sheetId="8" r:id="rId7"/>
    <sheet name="2005" sheetId="9" r:id="rId8"/>
    <sheet name="2006" sheetId="12" r:id="rId9"/>
    <sheet name="2007" sheetId="13" r:id="rId10"/>
    <sheet name="2008" sheetId="15" r:id="rId11"/>
    <sheet name="2009" sheetId="16" r:id="rId12"/>
    <sheet name="2010" sheetId="17" r:id="rId13"/>
    <sheet name="2011" sheetId="18" r:id="rId14"/>
    <sheet name="2012" sheetId="19" r:id="rId15"/>
    <sheet name="2013" sheetId="21" r:id="rId16"/>
    <sheet name="2014" sheetId="22" r:id="rId17"/>
    <sheet name="2015" sheetId="23" r:id="rId18"/>
    <sheet name="2016" sheetId="24" r:id="rId19"/>
    <sheet name="2017" sheetId="25" r:id="rId20"/>
    <sheet name="2018" sheetId="27" r:id="rId21"/>
    <sheet name="2019" sheetId="28" r:id="rId22"/>
    <sheet name="2020" sheetId="29" r:id="rId23"/>
    <sheet name="2021" sheetId="30" r:id="rId24"/>
    <sheet name="2022" sheetId="31" r:id="rId25"/>
    <sheet name="2023" sheetId="32" r:id="rId26"/>
    <sheet name="2024" sheetId="33" r:id="rId27"/>
    <sheet name="2025" sheetId="34" state="hidden" r:id="rId28"/>
  </sheets>
  <definedNames>
    <definedName name="en_1" localSheetId="11">'2009'!$C$1:$C$22</definedName>
    <definedName name="en_1" localSheetId="12">'2010'!$C$1:$C$22</definedName>
    <definedName name="en_1" localSheetId="13">'2011'!$C$1:$C$22</definedName>
    <definedName name="en_1" localSheetId="14">'2012'!$C$1:$C$22</definedName>
    <definedName name="en_1" localSheetId="15">'2013'!$C$1:$C$22</definedName>
    <definedName name="en_1" localSheetId="16">'2014'!#REF!</definedName>
    <definedName name="en_1" localSheetId="17">'2015'!#REF!</definedName>
    <definedName name="en_1" localSheetId="18">'2016'!#REF!</definedName>
    <definedName name="en_1" localSheetId="19">'2017'!#REF!</definedName>
    <definedName name="en_1" localSheetId="20">'2018'!#REF!</definedName>
    <definedName name="en_1">'1998'!$C$1:$C$16</definedName>
    <definedName name="en_10">'2007'!$C$1:$C$13</definedName>
    <definedName name="en_11">'2008'!$C$1:$C$21</definedName>
    <definedName name="en_2">'1999'!$C$1:$C$16</definedName>
    <definedName name="en_3">'2000'!$C$1:$C$20</definedName>
    <definedName name="en_4">'2001'!$C$1:$C$22</definedName>
    <definedName name="en_5">'2002'!$C$1:$C$14</definedName>
    <definedName name="en_6" localSheetId="20">#REF!</definedName>
    <definedName name="en_6" localSheetId="22">#REF!</definedName>
    <definedName name="en_6">#REF!</definedName>
    <definedName name="en_7">'2004'!$C$1:$C$14</definedName>
    <definedName name="en_8">'2005'!$C$1:$C$14</definedName>
    <definedName name="en_9">'2006'!$C$1:$C$13</definedName>
    <definedName name="fr_1" localSheetId="11">'2009'!$A$1:$A$22</definedName>
    <definedName name="fr_1" localSheetId="12">'2010'!$A$1:$A$22</definedName>
    <definedName name="fr_1" localSheetId="13">'2011'!$A$1:$A$22</definedName>
    <definedName name="fr_1" localSheetId="14">'2012'!$A$1:$A$22</definedName>
    <definedName name="fr_1" localSheetId="15">'2013'!$A$1:$A$22</definedName>
    <definedName name="fr_1" localSheetId="16">'2014'!#REF!</definedName>
    <definedName name="fr_1" localSheetId="17">'2015'!$A$1:$A$26</definedName>
    <definedName name="fr_1" localSheetId="18">'2016'!$A$1:$A$27</definedName>
    <definedName name="fr_1" localSheetId="19">'2017'!$A$1:$A$26</definedName>
    <definedName name="fr_1" localSheetId="20">'2018'!$A$1:$A$26</definedName>
    <definedName name="fr_1">'1998'!$A$1:$A$16</definedName>
    <definedName name="fr_10">'2007'!$A$1:$A$13</definedName>
    <definedName name="fr_11">'2008'!$A$1:$A$21</definedName>
    <definedName name="fr_2">'1999'!$A$1:$A$16</definedName>
    <definedName name="fr_3">'2000'!$A$1:$A$20</definedName>
    <definedName name="fr_4">'2001'!$A$1:$A$22</definedName>
    <definedName name="fr_5">'2002'!$A$1:$A$14</definedName>
    <definedName name="fr_6" localSheetId="20">#REF!</definedName>
    <definedName name="fr_6" localSheetId="22">#REF!</definedName>
    <definedName name="fr_6">#REF!</definedName>
    <definedName name="fr_7">'2004'!$A$1:$A$14</definedName>
    <definedName name="fr_8">'2005'!$A$1:$A$14</definedName>
    <definedName name="fr_9">'2006'!$A$1:$A$13</definedName>
    <definedName name="nl_1" localSheetId="11">'2009'!$B$1:$B$22</definedName>
    <definedName name="nl_1" localSheetId="12">'2010'!$B$1:$B$22</definedName>
    <definedName name="nl_1" localSheetId="13">'2011'!$B$1:$B$22</definedName>
    <definedName name="nl_1" localSheetId="14">'2012'!$B$1:$B$22</definedName>
    <definedName name="nl_1" localSheetId="15">'2013'!$B$1:$B$22</definedName>
    <definedName name="nl_1" localSheetId="16">'2014'!$A$1:$A$22</definedName>
    <definedName name="nl_1" localSheetId="17">'2015'!#REF!</definedName>
    <definedName name="nl_1" localSheetId="18">'2016'!#REF!</definedName>
    <definedName name="nl_1" localSheetId="19">'2017'!#REF!</definedName>
    <definedName name="nl_1" localSheetId="20">'2018'!#REF!</definedName>
    <definedName name="nl_1">'1998'!$B$1:$B$16</definedName>
    <definedName name="nl_10">'2007'!$B$1:$B$13</definedName>
    <definedName name="nl_11">'2008'!$B$1:$B$21</definedName>
    <definedName name="nl_2">'1999'!$B$1:$B$16</definedName>
    <definedName name="nl_3">'2000'!$B$1:$B$20</definedName>
    <definedName name="nl_4">'2001'!$B$1:$B$22</definedName>
    <definedName name="nl_5">'2002'!$B$1:$B$14</definedName>
    <definedName name="nl_6" localSheetId="20">#REF!</definedName>
    <definedName name="nl_6" localSheetId="22">#REF!</definedName>
    <definedName name="nl_6">#REF!</definedName>
    <definedName name="nl_7">'2004'!$B$1:$B$14</definedName>
    <definedName name="nl_8">'2005'!$B$1:$B$14</definedName>
    <definedName name="nl_9">'2006'!$B$1:$B$13</definedName>
    <definedName name="_xlnm.Print_Area" localSheetId="6">'2004'!$A$1:$Q$14</definedName>
    <definedName name="_xlnm.Print_Area" localSheetId="8">'2006'!$A$1:$O$13</definedName>
    <definedName name="_xlnm.Print_Area" localSheetId="11">'2009'!$A$1:$O$22</definedName>
    <definedName name="_xlnm.Print_Area" localSheetId="12">'2010'!$A$1:$O$22</definedName>
    <definedName name="_xlnm.Print_Area" localSheetId="13">'2011'!$A$1:$O$22</definedName>
    <definedName name="_xlnm.Print_Area" localSheetId="14">'2012'!$A$1:$O$22</definedName>
    <definedName name="_xlnm.Print_Area" localSheetId="15">'2013'!$A$1:$M$22</definedName>
    <definedName name="_xlnm.Print_Area" localSheetId="16">'2014'!$A$1:$Q$22</definedName>
    <definedName name="_xlnm.Print_Area" localSheetId="17">'2015'!$A$1:$K$26</definedName>
    <definedName name="_xlnm.Print_Area" localSheetId="18">'2016'!$A$1:$I$27</definedName>
    <definedName name="_xlnm.Print_Area" localSheetId="19">'2017'!$A$1:$K$26</definedName>
    <definedName name="_xlnm.Print_Area" localSheetId="20">'2018'!$A$1:$K$26</definedName>
    <definedName name="trim_five_a_1" localSheetId="11">'2009'!$M$1:$M$22</definedName>
    <definedName name="trim_five_a_1" localSheetId="12">'2010'!$M$1:$M$22</definedName>
    <definedName name="trim_five_a_1" localSheetId="13">'2011'!$M$1:$M$22</definedName>
    <definedName name="trim_five_a_1" localSheetId="14">'2012'!$M$1:$M$22</definedName>
    <definedName name="trim_five_a_1" localSheetId="15">'2013'!#REF!</definedName>
    <definedName name="trim_five_a_1" localSheetId="16">'2014'!#REF!</definedName>
    <definedName name="trim_five_a_1" localSheetId="17">'2015'!#REF!</definedName>
    <definedName name="trim_five_a_1" localSheetId="18">'2016'!#REF!</definedName>
    <definedName name="trim_five_a_1" localSheetId="19">'2017'!#REF!</definedName>
    <definedName name="trim_five_a_1" localSheetId="20">'2018'!#REF!</definedName>
    <definedName name="trim_five_a_1">'1998'!$O$1:$O$16</definedName>
    <definedName name="trim_five_a_10">'2007'!$M$1:$M$13</definedName>
    <definedName name="trim_five_a_11">'2008'!$M$1:$M$21</definedName>
    <definedName name="trim_five_a_2">'1999'!$O$1:$O$16</definedName>
    <definedName name="trim_five_a_3">'2000'!$O$1:$O$20</definedName>
    <definedName name="trim_five_a_4">'2001'!$O$1:$O$22</definedName>
    <definedName name="trim_five_a_5">'2002'!$O$1:$O$14</definedName>
    <definedName name="trim_five_a_6" localSheetId="20">#REF!</definedName>
    <definedName name="trim_five_a_6" localSheetId="22">#REF!</definedName>
    <definedName name="trim_five_a_6">#REF!</definedName>
    <definedName name="trim_five_a_7">'2004'!$O$1:$O$14</definedName>
    <definedName name="trim_five_a_8">'2005'!$O$1:$O$14</definedName>
    <definedName name="trim_five_a_9">'2006'!$M$1:$M$13</definedName>
    <definedName name="trim_five_b_1" localSheetId="11">'2009'!$L$1:$L$22</definedName>
    <definedName name="trim_five_b_1" localSheetId="12">'2010'!$L$1:$L$22</definedName>
    <definedName name="trim_five_b_1" localSheetId="13">'2011'!$L$1:$L$22</definedName>
    <definedName name="trim_five_b_1" localSheetId="14">'2012'!$L$1:$L$22</definedName>
    <definedName name="trim_five_b_1" localSheetId="15">'2013'!#REF!</definedName>
    <definedName name="trim_five_b_1" localSheetId="16">'2014'!#REF!</definedName>
    <definedName name="trim_five_b_1" localSheetId="17">'2015'!#REF!</definedName>
    <definedName name="trim_five_b_1" localSheetId="18">'2016'!#REF!</definedName>
    <definedName name="trim_five_b_1" localSheetId="19">'2017'!#REF!</definedName>
    <definedName name="trim_five_b_1" localSheetId="20">'2018'!#REF!</definedName>
    <definedName name="trim_five_b_1">'1998'!$N$1:$N$16</definedName>
    <definedName name="trim_five_b_10">'2007'!$L$1:$L$13</definedName>
    <definedName name="trim_five_b_11">'2008'!$L$1:$L$21</definedName>
    <definedName name="trim_five_b_2">'1999'!$N$1:$N$16</definedName>
    <definedName name="trim_five_b_3">'2000'!$N$1:$N$20</definedName>
    <definedName name="trim_five_b_4">'2001'!$N$1:$N$22</definedName>
    <definedName name="trim_five_b_5">'2002'!$N$1:$N$14</definedName>
    <definedName name="trim_five_b_6" localSheetId="20">#REF!</definedName>
    <definedName name="trim_five_b_6" localSheetId="22">#REF!</definedName>
    <definedName name="trim_five_b_6">#REF!</definedName>
    <definedName name="trim_five_b_7">'2004'!$N$1:$N$14</definedName>
    <definedName name="trim_five_b_8">'2005'!$N$1:$N$14</definedName>
    <definedName name="trim_five_b_9">'2006'!$L$1:$L$13</definedName>
    <definedName name="trim_four_a_1" localSheetId="11">'2009'!$K$1:$K$22</definedName>
    <definedName name="trim_four_a_1" localSheetId="12">'2010'!$K$1:$K$22</definedName>
    <definedName name="trim_four_a_1" localSheetId="13">'2011'!$K$1:$K$22</definedName>
    <definedName name="trim_four_a_1" localSheetId="14">'2012'!$K$1:$K$22</definedName>
    <definedName name="trim_four_a_1" localSheetId="15">'2013'!$K$1:$K$22</definedName>
    <definedName name="trim_four_a_1" localSheetId="16">'2014'!$O$1:$O$22</definedName>
    <definedName name="trim_four_a_1" localSheetId="17">'2015'!$K$1:$K$26</definedName>
    <definedName name="trim_four_a_1" localSheetId="18">'2016'!#REF!</definedName>
    <definedName name="trim_four_a_1" localSheetId="19">'2017'!#REF!</definedName>
    <definedName name="trim_four_a_1" localSheetId="20">'2018'!#REF!</definedName>
    <definedName name="trim_four_a_1">'1998'!$K$1:$K$16</definedName>
    <definedName name="trim_four_a_10">'2007'!$K$1:$K$13</definedName>
    <definedName name="trim_four_a_11">'2008'!$K$1:$K$21</definedName>
    <definedName name="trim_four_a_2">'1999'!$K$1:$K$16</definedName>
    <definedName name="trim_four_a_3">'2000'!$K$1:$K$20</definedName>
    <definedName name="trim_four_a_4">'2001'!$K$1:$K$22</definedName>
    <definedName name="trim_four_a_5">'2002'!$K$1:$K$14</definedName>
    <definedName name="trim_four_a_6" localSheetId="20">#REF!</definedName>
    <definedName name="trim_four_a_6" localSheetId="22">#REF!</definedName>
    <definedName name="trim_four_a_6">#REF!</definedName>
    <definedName name="trim_four_a_7">'2004'!$K$1:$K$14</definedName>
    <definedName name="trim_four_a_8">'2005'!$K$1:$K$14</definedName>
    <definedName name="trim_four_a_9">'2006'!$K$1:$K$13</definedName>
    <definedName name="trim_four_b_1" localSheetId="11">'2009'!$J$1:$J$22</definedName>
    <definedName name="trim_four_b_1" localSheetId="12">'2010'!$J$1:$J$22</definedName>
    <definedName name="trim_four_b_1" localSheetId="13">'2011'!$J$1:$J$22</definedName>
    <definedName name="trim_four_b_1" localSheetId="14">'2012'!$J$1:$J$22</definedName>
    <definedName name="trim_four_b_1" localSheetId="15">'2013'!$J$1:$J$22</definedName>
    <definedName name="trim_four_b_1" localSheetId="16">'2014'!$N$1:$N$22</definedName>
    <definedName name="trim_four_b_1" localSheetId="17">'2015'!$J$1:$J$26</definedName>
    <definedName name="trim_four_b_1" localSheetId="18">'2016'!#REF!</definedName>
    <definedName name="trim_four_b_1" localSheetId="19">'2017'!#REF!</definedName>
    <definedName name="trim_four_b_1" localSheetId="20">'2018'!#REF!</definedName>
    <definedName name="trim_four_b_1">'1998'!$J$1:$J$16</definedName>
    <definedName name="trim_four_b_10">'2007'!$J$1:$J$13</definedName>
    <definedName name="trim_four_b_11">'2008'!$J$1:$J$21</definedName>
    <definedName name="trim_four_b_2">'1999'!$J$1:$J$16</definedName>
    <definedName name="trim_four_b_3">'2000'!$J$1:$J$20</definedName>
    <definedName name="trim_four_b_4">'2001'!$J$1:$J$22</definedName>
    <definedName name="trim_four_b_5">'2002'!$J$1:$J$14</definedName>
    <definedName name="trim_four_b_6" localSheetId="20">#REF!</definedName>
    <definedName name="trim_four_b_6" localSheetId="22">#REF!</definedName>
    <definedName name="trim_four_b_6">#REF!</definedName>
    <definedName name="trim_four_b_7">'2004'!$J$1:$J$14</definedName>
    <definedName name="trim_four_b_8">'2005'!$J$1:$J$14</definedName>
    <definedName name="trim_four_b_9">'2006'!$J$1:$J$13</definedName>
    <definedName name="trim_one_a_1" localSheetId="11">'2009'!$E$1:$E$22</definedName>
    <definedName name="trim_one_a_1" localSheetId="12">'2010'!$E$1:$E$22</definedName>
    <definedName name="trim_one_a_1" localSheetId="13">'2011'!$E$1:$E$22</definedName>
    <definedName name="trim_one_a_1" localSheetId="14">'2012'!$E$1:$E$22</definedName>
    <definedName name="trim_one_a_1" localSheetId="15">'2013'!$E$1:$E$22</definedName>
    <definedName name="trim_one_a_1" localSheetId="16">'2014'!$I$1:$I$22</definedName>
    <definedName name="trim_one_a_1" localSheetId="17">'2015'!$E$1:$E$26</definedName>
    <definedName name="trim_one_a_1" localSheetId="18">'2016'!#REF!</definedName>
    <definedName name="trim_one_a_1" localSheetId="19">'2017'!#REF!</definedName>
    <definedName name="trim_one_a_1" localSheetId="20">'2018'!#REF!</definedName>
    <definedName name="trim_one_a_1">'1998'!$E$1:$E$16</definedName>
    <definedName name="trim_one_a_10">'2007'!$E$1:$E$13</definedName>
    <definedName name="trim_one_a_11">'2008'!$E$1:$E$21</definedName>
    <definedName name="trim_one_a_2">'1999'!$E$1:$E$16</definedName>
    <definedName name="trim_one_a_3">'2000'!$E$1:$E$20</definedName>
    <definedName name="trim_one_a_4">'2001'!$E$1:$E$22</definedName>
    <definedName name="trim_one_a_5">'2002'!$E$1:$E$14</definedName>
    <definedName name="trim_one_a_6" localSheetId="20">#REF!</definedName>
    <definedName name="trim_one_a_6" localSheetId="22">#REF!</definedName>
    <definedName name="trim_one_a_6">#REF!</definedName>
    <definedName name="trim_one_a_7">'2004'!$E$1:$E$14</definedName>
    <definedName name="trim_one_a_8">'2005'!$E$1:$E$14</definedName>
    <definedName name="trim_one_a_9">'2006'!$E$1:$E$13</definedName>
    <definedName name="trim_one_b_1" localSheetId="11">'2009'!$D$1:$D$22</definedName>
    <definedName name="trim_one_b_1" localSheetId="12">'2010'!$D$1:$D$22</definedName>
    <definedName name="trim_one_b_1" localSheetId="13">'2011'!$D$1:$D$22</definedName>
    <definedName name="trim_one_b_1" localSheetId="14">'2012'!$D$1:$D$22</definedName>
    <definedName name="trim_one_b_1" localSheetId="15">'2013'!$D$1:$D$22</definedName>
    <definedName name="trim_one_b_1" localSheetId="16">'2014'!$H$1:$H$22</definedName>
    <definedName name="trim_one_b_1" localSheetId="17">'2015'!$D$1:$D$26</definedName>
    <definedName name="trim_one_b_1" localSheetId="18">'2016'!#REF!</definedName>
    <definedName name="trim_one_b_1" localSheetId="19">'2017'!#REF!</definedName>
    <definedName name="trim_one_b_1" localSheetId="20">'2018'!#REF!</definedName>
    <definedName name="trim_one_b_1">'1998'!$D$1:$D$16</definedName>
    <definedName name="trim_one_b_10">'2007'!$D$1:$D$13</definedName>
    <definedName name="trim_one_b_11">'2008'!$D$1:$D$21</definedName>
    <definedName name="trim_one_b_2">'1999'!$D$1:$D$16</definedName>
    <definedName name="trim_one_b_3">'2000'!$D$1:$D$20</definedName>
    <definedName name="trim_one_b_4">'2001'!$D$1:$D$22</definedName>
    <definedName name="trim_one_b_5">'2002'!$D$1:$D$14</definedName>
    <definedName name="trim_one_b_6" localSheetId="20">#REF!</definedName>
    <definedName name="trim_one_b_6" localSheetId="22">#REF!</definedName>
    <definedName name="trim_one_b_6">#REF!</definedName>
    <definedName name="trim_one_b_7">'2004'!$D$1:$D$14</definedName>
    <definedName name="trim_one_b_8">'2005'!$D$1:$D$14</definedName>
    <definedName name="trim_one_b_9">'2006'!$D$1:$D$13</definedName>
    <definedName name="trim_six_a_1" localSheetId="11">'2009'!$O$1:$O$22</definedName>
    <definedName name="trim_six_a_1" localSheetId="12">'2010'!$O$1:$O$22</definedName>
    <definedName name="trim_six_a_1" localSheetId="13">'2011'!$O$1:$O$22</definedName>
    <definedName name="trim_six_a_1" localSheetId="14">'2012'!$O$1:$O$22</definedName>
    <definedName name="trim_six_a_1" localSheetId="15">'2013'!$M$1:$M$22</definedName>
    <definedName name="trim_six_a_1" localSheetId="16">'2014'!$Q$1:$Q$22</definedName>
    <definedName name="trim_six_a_1" localSheetId="17">'2015'!#REF!</definedName>
    <definedName name="trim_six_a_1" localSheetId="18">'2016'!#REF!</definedName>
    <definedName name="trim_six_a_1" localSheetId="19">'2017'!#REF!</definedName>
    <definedName name="trim_six_a_1" localSheetId="20">'2018'!#REF!</definedName>
    <definedName name="trim_six_a_1">'1998'!$Q$1:$Q$16</definedName>
    <definedName name="trim_six_a_10">'2007'!$O$1:$O$13</definedName>
    <definedName name="trim_six_a_11">'2008'!$O$1:$O$21</definedName>
    <definedName name="trim_six_a_2">'1999'!$Q$1:$Q$16</definedName>
    <definedName name="trim_six_a_3">'2000'!$Q$1:$Q$20</definedName>
    <definedName name="trim_six_a_4">'2001'!$Q$1:$Q$22</definedName>
    <definedName name="trim_six_a_5">'2002'!$Q$1:$Q$14</definedName>
    <definedName name="trim_six_a_6" localSheetId="20">#REF!</definedName>
    <definedName name="trim_six_a_6" localSheetId="22">#REF!</definedName>
    <definedName name="trim_six_a_6">#REF!</definedName>
    <definedName name="trim_six_a_7">'2004'!$Q$1:$Q$14</definedName>
    <definedName name="trim_six_a_8">'2005'!$Q$1:$Q$14</definedName>
    <definedName name="trim_six_a_9">'2006'!$O$1:$O$13</definedName>
    <definedName name="trim_six_b_1" localSheetId="11">'2009'!$N$1:$N$22</definedName>
    <definedName name="trim_six_b_1" localSheetId="12">'2010'!$N$1:$N$22</definedName>
    <definedName name="trim_six_b_1" localSheetId="13">'2011'!$N$1:$N$22</definedName>
    <definedName name="trim_six_b_1" localSheetId="14">'2012'!$N$1:$N$22</definedName>
    <definedName name="trim_six_b_1" localSheetId="15">'2013'!$L$1:$L$22</definedName>
    <definedName name="trim_six_b_1" localSheetId="16">'2014'!$P$1:$P$22</definedName>
    <definedName name="trim_six_b_1" localSheetId="17">'2015'!#REF!</definedName>
    <definedName name="trim_six_b_1" localSheetId="18">'2016'!#REF!</definedName>
    <definedName name="trim_six_b_1" localSheetId="19">'2017'!#REF!</definedName>
    <definedName name="trim_six_b_1" localSheetId="20">'2018'!#REF!</definedName>
    <definedName name="trim_six_b_1">'1998'!$P$1:$P$16</definedName>
    <definedName name="trim_six_b_10">'2007'!$N$1:$N$13</definedName>
    <definedName name="trim_six_b_11">'2008'!$N$1:$N$21</definedName>
    <definedName name="trim_six_b_2">'1999'!$P$1:$P$16</definedName>
    <definedName name="trim_six_b_3">'2000'!$P$1:$P$20</definedName>
    <definedName name="trim_six_b_4">'2001'!$P$1:$P$22</definedName>
    <definedName name="trim_six_b_5">'2002'!$P$1:$P$14</definedName>
    <definedName name="trim_six_b_6" localSheetId="20">#REF!</definedName>
    <definedName name="trim_six_b_6" localSheetId="22">#REF!</definedName>
    <definedName name="trim_six_b_6">#REF!</definedName>
    <definedName name="trim_six_b_7">'2004'!$P$1:$P$14</definedName>
    <definedName name="trim_six_b_8">'2005'!$P$1:$P$14</definedName>
    <definedName name="trim_six_b_9">'2006'!$N$1:$N$13</definedName>
    <definedName name="trim_three_a_1" localSheetId="11">'2009'!$I$1:$I$22</definedName>
    <definedName name="trim_three_a_1" localSheetId="12">'2010'!$I$1:$I$22</definedName>
    <definedName name="trim_three_a_1" localSheetId="13">'2011'!$I$1:$I$22</definedName>
    <definedName name="trim_three_a_1" localSheetId="14">'2012'!$I$1:$I$22</definedName>
    <definedName name="trim_three_a_1" localSheetId="15">'2013'!$I$1:$I$22</definedName>
    <definedName name="trim_three_a_1" localSheetId="16">'2014'!$M$1:$M$22</definedName>
    <definedName name="trim_three_a_1" localSheetId="17">'2015'!$I$1:$I$26</definedName>
    <definedName name="trim_three_a_1" localSheetId="18">'2016'!$I$1:$I$27</definedName>
    <definedName name="trim_three_a_1" localSheetId="19">'2017'!#REF!</definedName>
    <definedName name="trim_three_a_1" localSheetId="20">'2018'!#REF!</definedName>
    <definedName name="trim_three_a_1">'1998'!$I$1:$I$16</definedName>
    <definedName name="trim_three_a_10">'2007'!$I$1:$I$13</definedName>
    <definedName name="trim_three_a_11">'2008'!$I$1:$I$21</definedName>
    <definedName name="trim_three_a_2">'1999'!$I$1:$I$16</definedName>
    <definedName name="trim_three_a_3">'2000'!$I$1:$I$20</definedName>
    <definedName name="trim_three_a_4">'2001'!$I$1:$I$22</definedName>
    <definedName name="trim_three_a_5">'2002'!$I$1:$I$14</definedName>
    <definedName name="trim_three_a_6" localSheetId="20">#REF!</definedName>
    <definedName name="trim_three_a_6" localSheetId="22">#REF!</definedName>
    <definedName name="trim_three_a_6">#REF!</definedName>
    <definedName name="trim_three_a_7">'2004'!$I$1:$I$14</definedName>
    <definedName name="trim_three_a_8">'2005'!$I$1:$I$14</definedName>
    <definedName name="trim_three_a_9">'2006'!$I$1:$I$13</definedName>
    <definedName name="trim_three_b_1" localSheetId="11">'2009'!$H$1:$H$22</definedName>
    <definedName name="trim_three_b_1" localSheetId="12">'2010'!$H$1:$H$22</definedName>
    <definedName name="trim_three_b_1" localSheetId="13">'2011'!$H$1:$H$22</definedName>
    <definedName name="trim_three_b_1" localSheetId="14">'2012'!$H$1:$H$22</definedName>
    <definedName name="trim_three_b_1" localSheetId="15">'2013'!$H$1:$H$22</definedName>
    <definedName name="trim_three_b_1" localSheetId="16">'2014'!$L$1:$L$22</definedName>
    <definedName name="trim_three_b_1" localSheetId="17">'2015'!$H$1:$H$26</definedName>
    <definedName name="trim_three_b_1" localSheetId="18">'2016'!$H$1:$H$27</definedName>
    <definedName name="trim_three_b_1" localSheetId="19">'2017'!#REF!</definedName>
    <definedName name="trim_three_b_1" localSheetId="20">'2018'!#REF!</definedName>
    <definedName name="trim_three_b_1">'1998'!$H$1:$H$16</definedName>
    <definedName name="trim_three_b_10">'2007'!$H$1:$H$13</definedName>
    <definedName name="trim_three_b_11">'2008'!$H$1:$H$21</definedName>
    <definedName name="trim_three_b_2">'1999'!$H$1:$H$16</definedName>
    <definedName name="trim_three_b_3">'2000'!$H$1:$H$20</definedName>
    <definedName name="trim_three_b_4">'2001'!$H$1:$H$22</definedName>
    <definedName name="trim_three_b_5">'2002'!$H$1:$H$14</definedName>
    <definedName name="trim_three_b_6" localSheetId="20">#REF!</definedName>
    <definedName name="trim_three_b_6" localSheetId="22">#REF!</definedName>
    <definedName name="trim_three_b_6">#REF!</definedName>
    <definedName name="trim_three_b_7">'2004'!$H$1:$H$14</definedName>
    <definedName name="trim_three_b_8">'2005'!$H$1:$H$14</definedName>
    <definedName name="trim_three_b_9">'2006'!$H$1:$H$13</definedName>
    <definedName name="trim_two_a_1" localSheetId="11">'2009'!$G$1:$G$22</definedName>
    <definedName name="trim_two_a_1" localSheetId="12">'2010'!$G$1:$G$22</definedName>
    <definedName name="trim_two_a_1" localSheetId="13">'2011'!$G$1:$G$22</definedName>
    <definedName name="trim_two_a_1" localSheetId="14">'2012'!$G$1:$G$22</definedName>
    <definedName name="trim_two_a_1" localSheetId="15">'2013'!$G$1:$G$22</definedName>
    <definedName name="trim_two_a_1" localSheetId="16">'2014'!$K$1:$K$22</definedName>
    <definedName name="trim_two_a_1" localSheetId="17">'2015'!$G$1:$G$26</definedName>
    <definedName name="trim_two_a_1" localSheetId="18">'2016'!$G$1:$G$27</definedName>
    <definedName name="trim_two_a_1" localSheetId="19">'2017'!#REF!</definedName>
    <definedName name="trim_two_a_1" localSheetId="20">'2018'!#REF!</definedName>
    <definedName name="trim_two_a_1">'1998'!$G$1:$G$16</definedName>
    <definedName name="trim_two_a_10">'2007'!$G$1:$G$13</definedName>
    <definedName name="trim_two_a_11">'2008'!$G$1:$G$21</definedName>
    <definedName name="trim_two_a_2">'1999'!$G$1:$G$16</definedName>
    <definedName name="trim_two_a_3">'2000'!$G$1:$G$20</definedName>
    <definedName name="trim_two_a_4">'2001'!$G$1:$G$22</definedName>
    <definedName name="trim_two_a_5">'2002'!$G$1:$G$14</definedName>
    <definedName name="trim_two_a_6" localSheetId="20">#REF!</definedName>
    <definedName name="trim_two_a_6" localSheetId="22">#REF!</definedName>
    <definedName name="trim_two_a_6">#REF!</definedName>
    <definedName name="trim_two_a_7">'2004'!$G$1:$G$14</definedName>
    <definedName name="trim_two_a_8">'2005'!$G$1:$G$14</definedName>
    <definedName name="trim_two_a_9">'2006'!$G$1:$G$13</definedName>
    <definedName name="trim_two_b_1" localSheetId="11">'2009'!$F$1:$F$22</definedName>
    <definedName name="trim_two_b_1" localSheetId="12">'2010'!$F$1:$F$22</definedName>
    <definedName name="trim_two_b_1" localSheetId="13">'2011'!$F$1:$F$22</definedName>
    <definedName name="trim_two_b_1" localSheetId="14">'2012'!$F$1:$F$22</definedName>
    <definedName name="trim_two_b_1" localSheetId="15">'2013'!$F$1:$F$22</definedName>
    <definedName name="trim_two_b_1" localSheetId="16">'2014'!$J$1:$J$22</definedName>
    <definedName name="trim_two_b_1" localSheetId="17">'2015'!$F$1:$F$26</definedName>
    <definedName name="trim_two_b_1" localSheetId="18">'2016'!$F$1:$F$27</definedName>
    <definedName name="trim_two_b_1" localSheetId="19">'2017'!#REF!</definedName>
    <definedName name="trim_two_b_1" localSheetId="20">'2018'!#REF!</definedName>
    <definedName name="trim_two_b_1">'1998'!$F$1:$F$16</definedName>
    <definedName name="trim_two_b_10">'2007'!$F$1:$F$13</definedName>
    <definedName name="trim_two_b_11">'2008'!$F$1:$F$21</definedName>
    <definedName name="trim_two_b_2">'1999'!$F$1:$F$16</definedName>
    <definedName name="trim_two_b_3">'2000'!$F$1:$F$20</definedName>
    <definedName name="trim_two_b_4">'2001'!$F$1:$F$22</definedName>
    <definedName name="trim_two_b_5">'2002'!$F$1:$F$14</definedName>
    <definedName name="trim_two_b_6" localSheetId="20">#REF!</definedName>
    <definedName name="trim_two_b_6" localSheetId="22">#REF!</definedName>
    <definedName name="trim_two_b_6">#REF!</definedName>
    <definedName name="trim_two_b_7">'2004'!$F$1:$F$14</definedName>
    <definedName name="trim_two_b_8">'2005'!$F$1:$F$14</definedName>
    <definedName name="trim_two_b_9">'2006'!$F$1:$F$13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33" l="1"/>
  <c r="C21" i="33" s="1"/>
  <c r="E20" i="33"/>
  <c r="E21" i="33" s="1"/>
  <c r="G20" i="33" l="1"/>
  <c r="G21" i="33" s="1"/>
  <c r="K20" i="33"/>
  <c r="K21" i="33" s="1"/>
  <c r="C23" i="32"/>
  <c r="C24" i="32" s="1"/>
  <c r="E23" i="32" l="1"/>
  <c r="E24" i="32" s="1"/>
  <c r="I23" i="32"/>
  <c r="I24" i="32" s="1"/>
  <c r="G23" i="32"/>
  <c r="G24" i="32" s="1"/>
  <c r="K23" i="32"/>
  <c r="K24" i="32" s="1"/>
  <c r="C22" i="31"/>
  <c r="C23" i="31" l="1"/>
  <c r="E23" i="31" l="1"/>
  <c r="G18" i="31" l="1"/>
  <c r="K18" i="31" l="1"/>
  <c r="I18" i="31"/>
  <c r="E16" i="30" l="1"/>
  <c r="K15" i="28" l="1"/>
  <c r="C15" i="27" l="1"/>
  <c r="I16" i="24" l="1"/>
  <c r="K15" i="23"/>
  <c r="I15" i="23"/>
  <c r="C11" i="22"/>
  <c r="C12" i="22" s="1"/>
  <c r="E11" i="22"/>
  <c r="E12" i="22" s="1"/>
  <c r="G11" i="22"/>
  <c r="AM12" i="22"/>
  <c r="AL12" i="22"/>
  <c r="AB12" i="22"/>
  <c r="Z12" i="22"/>
  <c r="X12" i="22"/>
  <c r="V12" i="22"/>
  <c r="AJ11" i="22"/>
  <c r="AH11" i="22"/>
  <c r="AF11" i="22"/>
  <c r="AD11" i="22"/>
  <c r="AB11" i="22"/>
  <c r="AJ10" i="22"/>
  <c r="AH10" i="22"/>
  <c r="AF10" i="22"/>
  <c r="AD10" i="22"/>
  <c r="AB10" i="22"/>
  <c r="Z10" i="22"/>
  <c r="AJ6" i="22"/>
  <c r="AI6" i="22"/>
  <c r="AH6" i="22"/>
  <c r="AG6" i="22"/>
  <c r="AF6" i="22"/>
  <c r="AE6" i="22"/>
  <c r="AD6" i="22"/>
  <c r="AC6" i="22"/>
  <c r="AB6" i="22"/>
  <c r="AA6" i="22"/>
  <c r="AJ4" i="22"/>
  <c r="AI4" i="22"/>
  <c r="AH4" i="22"/>
  <c r="AG4" i="22"/>
  <c r="AF4" i="22"/>
  <c r="AF12" i="22" s="1"/>
  <c r="AE4" i="22"/>
  <c r="AD4" i="22"/>
  <c r="AC4" i="22"/>
  <c r="AB4" i="22"/>
  <c r="AA4" i="22"/>
  <c r="AJ3" i="22"/>
  <c r="AI3" i="22"/>
  <c r="AH3" i="22"/>
  <c r="AG3" i="22"/>
  <c r="AF3" i="22"/>
  <c r="AE3" i="22"/>
  <c r="AD3" i="22"/>
  <c r="AC3" i="22"/>
  <c r="AB3" i="22"/>
  <c r="AA3" i="22"/>
  <c r="AJ2" i="22"/>
  <c r="AI2" i="22"/>
  <c r="AH2" i="22"/>
  <c r="AG2" i="22"/>
  <c r="AF2" i="22"/>
  <c r="AE2" i="22"/>
  <c r="AD2" i="22"/>
  <c r="AC2" i="22"/>
  <c r="Y2" i="22"/>
  <c r="K10" i="21"/>
  <c r="K11" i="21" s="1"/>
  <c r="I11" i="21"/>
  <c r="M11" i="21"/>
  <c r="M12" i="21" s="1"/>
  <c r="M13" i="21" s="1"/>
  <c r="E13" i="21"/>
  <c r="C5" i="21"/>
  <c r="B5" i="21"/>
  <c r="AI12" i="21"/>
  <c r="AH12" i="21"/>
  <c r="X12" i="21"/>
  <c r="V12" i="21"/>
  <c r="T12" i="21"/>
  <c r="R12" i="21"/>
  <c r="AF11" i="21"/>
  <c r="AD11" i="21"/>
  <c r="AB11" i="21"/>
  <c r="Z11" i="21"/>
  <c r="X11" i="21"/>
  <c r="AF10" i="21"/>
  <c r="AD10" i="21"/>
  <c r="AB10" i="21"/>
  <c r="Z10" i="21"/>
  <c r="X10" i="21"/>
  <c r="V10" i="21"/>
  <c r="AF3" i="21"/>
  <c r="AE3" i="21"/>
  <c r="AD3" i="21"/>
  <c r="AC3" i="21"/>
  <c r="AB3" i="21"/>
  <c r="AA3" i="21"/>
  <c r="Z3" i="21"/>
  <c r="Y3" i="21"/>
  <c r="X3" i="21"/>
  <c r="W3" i="21"/>
  <c r="C3" i="21"/>
  <c r="B3" i="21"/>
  <c r="AF4" i="21"/>
  <c r="AE4" i="21"/>
  <c r="AD4" i="21"/>
  <c r="AC4" i="21"/>
  <c r="AB4" i="21"/>
  <c r="AA4" i="21"/>
  <c r="Z4" i="21"/>
  <c r="Y4" i="21"/>
  <c r="X4" i="21"/>
  <c r="W4" i="21"/>
  <c r="C4" i="21"/>
  <c r="B4" i="21"/>
  <c r="AF2" i="21"/>
  <c r="AE2" i="21"/>
  <c r="AD2" i="21"/>
  <c r="AC2" i="21"/>
  <c r="AB2" i="21"/>
  <c r="AA2" i="21"/>
  <c r="Z2" i="21"/>
  <c r="Y2" i="21"/>
  <c r="U2" i="21"/>
  <c r="C2" i="21"/>
  <c r="B2" i="21"/>
  <c r="C8" i="21"/>
  <c r="C7" i="21"/>
  <c r="AF6" i="21"/>
  <c r="AE6" i="21"/>
  <c r="AD6" i="21"/>
  <c r="AC6" i="21"/>
  <c r="AB6" i="21"/>
  <c r="AA6" i="21"/>
  <c r="Z6" i="21"/>
  <c r="Y6" i="21"/>
  <c r="X6" i="21"/>
  <c r="W6" i="21"/>
  <c r="C6" i="21"/>
  <c r="B6" i="21"/>
  <c r="O10" i="13"/>
  <c r="M12" i="17"/>
  <c r="O12" i="19"/>
  <c r="AK12" i="19"/>
  <c r="AJ12" i="19"/>
  <c r="V12" i="19"/>
  <c r="T12" i="19"/>
  <c r="M12" i="19"/>
  <c r="K12" i="19"/>
  <c r="I12" i="19"/>
  <c r="G12" i="19"/>
  <c r="E12" i="19"/>
  <c r="AH11" i="19"/>
  <c r="AF11" i="19"/>
  <c r="AD11" i="19"/>
  <c r="AB11" i="19"/>
  <c r="Z11" i="19"/>
  <c r="AH10" i="19"/>
  <c r="AF10" i="19"/>
  <c r="AD10" i="19"/>
  <c r="AB10" i="19"/>
  <c r="Z10" i="19"/>
  <c r="X10" i="19"/>
  <c r="X12" i="19"/>
  <c r="C9" i="19"/>
  <c r="B9" i="19"/>
  <c r="AH8" i="19"/>
  <c r="AG8" i="19"/>
  <c r="AF8" i="19"/>
  <c r="AE8" i="19"/>
  <c r="AD8" i="19"/>
  <c r="AC8" i="19"/>
  <c r="AB8" i="19"/>
  <c r="AA8" i="19"/>
  <c r="Z8" i="19"/>
  <c r="Y8" i="19"/>
  <c r="C8" i="19"/>
  <c r="B8" i="19"/>
  <c r="AH7" i="19"/>
  <c r="AG7" i="19"/>
  <c r="AF7" i="19"/>
  <c r="AE7" i="19"/>
  <c r="AD7" i="19"/>
  <c r="AC7" i="19"/>
  <c r="AB7" i="19"/>
  <c r="AA7" i="19"/>
  <c r="Z7" i="19"/>
  <c r="Y7" i="19"/>
  <c r="C7" i="19"/>
  <c r="B7" i="19"/>
  <c r="AH6" i="19"/>
  <c r="AG6" i="19"/>
  <c r="AF6" i="19"/>
  <c r="AE6" i="19"/>
  <c r="AD6" i="19"/>
  <c r="AC6" i="19"/>
  <c r="AB6" i="19"/>
  <c r="AA6" i="19"/>
  <c r="W6" i="19"/>
  <c r="C6" i="19"/>
  <c r="B6" i="19"/>
  <c r="C5" i="19"/>
  <c r="C4" i="19"/>
  <c r="AH3" i="19"/>
  <c r="AG3" i="19"/>
  <c r="AF3" i="19"/>
  <c r="AE3" i="19"/>
  <c r="AD3" i="19"/>
  <c r="AC3" i="19"/>
  <c r="AB3" i="19"/>
  <c r="AA3" i="19"/>
  <c r="Z3" i="19"/>
  <c r="Z12" i="19"/>
  <c r="Y3" i="19"/>
  <c r="C3" i="19"/>
  <c r="B3" i="19"/>
  <c r="C2" i="19"/>
  <c r="B2" i="19"/>
  <c r="O12" i="18"/>
  <c r="AK12" i="18"/>
  <c r="AJ12" i="18"/>
  <c r="V12" i="18"/>
  <c r="T12" i="18"/>
  <c r="M12" i="18"/>
  <c r="K12" i="18"/>
  <c r="I12" i="18"/>
  <c r="G12" i="18"/>
  <c r="E12" i="18"/>
  <c r="AH11" i="18"/>
  <c r="AF11" i="18"/>
  <c r="AD11" i="18"/>
  <c r="AB11" i="18"/>
  <c r="Z11" i="18"/>
  <c r="AH10" i="18"/>
  <c r="AF10" i="18"/>
  <c r="AD10" i="18"/>
  <c r="AB10" i="18"/>
  <c r="Z10" i="18"/>
  <c r="X10" i="18"/>
  <c r="X12" i="18"/>
  <c r="C9" i="18"/>
  <c r="B9" i="18"/>
  <c r="AH8" i="18"/>
  <c r="AG8" i="18"/>
  <c r="AF8" i="18"/>
  <c r="AE8" i="18"/>
  <c r="AD8" i="18"/>
  <c r="AC8" i="18"/>
  <c r="AB8" i="18"/>
  <c r="AA8" i="18"/>
  <c r="Z8" i="18"/>
  <c r="Y8" i="18"/>
  <c r="C8" i="18"/>
  <c r="B8" i="18"/>
  <c r="AH7" i="18"/>
  <c r="AG7" i="18"/>
  <c r="AF7" i="18"/>
  <c r="AE7" i="18"/>
  <c r="AD7" i="18"/>
  <c r="AC7" i="18"/>
  <c r="AB7" i="18"/>
  <c r="AA7" i="18"/>
  <c r="Z7" i="18"/>
  <c r="Y7" i="18"/>
  <c r="C7" i="18"/>
  <c r="B7" i="18"/>
  <c r="AH6" i="18"/>
  <c r="AG6" i="18"/>
  <c r="AF6" i="18"/>
  <c r="AE6" i="18"/>
  <c r="AD6" i="18"/>
  <c r="AC6" i="18"/>
  <c r="AB6" i="18"/>
  <c r="AA6" i="18"/>
  <c r="W6" i="18"/>
  <c r="C6" i="18"/>
  <c r="B6" i="18"/>
  <c r="C5" i="18"/>
  <c r="C4" i="18"/>
  <c r="AH3" i="18"/>
  <c r="AG3" i="18"/>
  <c r="AF3" i="18"/>
  <c r="AE3" i="18"/>
  <c r="AD3" i="18"/>
  <c r="AC3" i="18"/>
  <c r="AB3" i="18"/>
  <c r="AA3" i="18"/>
  <c r="Z3" i="18"/>
  <c r="Z12" i="18"/>
  <c r="Y3" i="18"/>
  <c r="C3" i="18"/>
  <c r="B3" i="18"/>
  <c r="C2" i="18"/>
  <c r="B2" i="18"/>
  <c r="E12" i="17"/>
  <c r="C9" i="17"/>
  <c r="B9" i="17"/>
  <c r="G12" i="17"/>
  <c r="K12" i="17"/>
  <c r="I12" i="17"/>
  <c r="AK12" i="17"/>
  <c r="AJ12" i="17"/>
  <c r="V12" i="17"/>
  <c r="T12" i="17"/>
  <c r="AH11" i="17"/>
  <c r="AF11" i="17"/>
  <c r="AD11" i="17"/>
  <c r="AB11" i="17"/>
  <c r="Z11" i="17"/>
  <c r="AH10" i="17"/>
  <c r="AF10" i="17"/>
  <c r="AD10" i="17"/>
  <c r="AB10" i="17"/>
  <c r="Z10" i="17"/>
  <c r="X10" i="17"/>
  <c r="X12" i="17"/>
  <c r="AH8" i="17"/>
  <c r="AG8" i="17"/>
  <c r="AF8" i="17"/>
  <c r="AE8" i="17"/>
  <c r="AD8" i="17"/>
  <c r="AC8" i="17"/>
  <c r="AB8" i="17"/>
  <c r="AA8" i="17"/>
  <c r="Z8" i="17"/>
  <c r="Y8" i="17"/>
  <c r="C8" i="17"/>
  <c r="B8" i="17"/>
  <c r="AH7" i="17"/>
  <c r="AG7" i="17"/>
  <c r="AF7" i="17"/>
  <c r="AE7" i="17"/>
  <c r="AD7" i="17"/>
  <c r="AC7" i="17"/>
  <c r="AB7" i="17"/>
  <c r="AA7" i="17"/>
  <c r="Z7" i="17"/>
  <c r="Y7" i="17"/>
  <c r="C7" i="17"/>
  <c r="B7" i="17"/>
  <c r="AH6" i="17"/>
  <c r="AG6" i="17"/>
  <c r="AF6" i="17"/>
  <c r="AE6" i="17"/>
  <c r="AD6" i="17"/>
  <c r="AC6" i="17"/>
  <c r="AB6" i="17"/>
  <c r="AA6" i="17"/>
  <c r="W6" i="17"/>
  <c r="C6" i="17"/>
  <c r="B6" i="17"/>
  <c r="C5" i="17"/>
  <c r="C4" i="17"/>
  <c r="AH3" i="17"/>
  <c r="AG3" i="17"/>
  <c r="AF3" i="17"/>
  <c r="AE3" i="17"/>
  <c r="AD3" i="17"/>
  <c r="AC3" i="17"/>
  <c r="AB3" i="17"/>
  <c r="AA3" i="17"/>
  <c r="Z3" i="17"/>
  <c r="Y3" i="17"/>
  <c r="C3" i="17"/>
  <c r="B3" i="17"/>
  <c r="C2" i="17"/>
  <c r="B2" i="17"/>
  <c r="AK12" i="16"/>
  <c r="AJ12" i="16"/>
  <c r="V12" i="16"/>
  <c r="T12" i="16"/>
  <c r="AH11" i="16"/>
  <c r="AF11" i="16"/>
  <c r="AD11" i="16"/>
  <c r="AB11" i="16"/>
  <c r="Z11" i="16"/>
  <c r="AH10" i="16"/>
  <c r="AF10" i="16"/>
  <c r="AD10" i="16"/>
  <c r="AB10" i="16"/>
  <c r="Z10" i="16"/>
  <c r="X10" i="16"/>
  <c r="X12" i="16"/>
  <c r="AH8" i="16"/>
  <c r="AG8" i="16"/>
  <c r="AF8" i="16"/>
  <c r="AE8" i="16"/>
  <c r="AD8" i="16"/>
  <c r="AC8" i="16"/>
  <c r="AB8" i="16"/>
  <c r="AA8" i="16"/>
  <c r="Z8" i="16"/>
  <c r="Y8" i="16"/>
  <c r="C8" i="16"/>
  <c r="B8" i="16"/>
  <c r="AH7" i="16"/>
  <c r="AG7" i="16"/>
  <c r="AF7" i="16"/>
  <c r="AE7" i="16"/>
  <c r="AD7" i="16"/>
  <c r="AC7" i="16"/>
  <c r="AB7" i="16"/>
  <c r="AA7" i="16"/>
  <c r="Z7" i="16"/>
  <c r="Y7" i="16"/>
  <c r="C7" i="16"/>
  <c r="B7" i="16"/>
  <c r="AH6" i="16"/>
  <c r="AG6" i="16"/>
  <c r="AF6" i="16"/>
  <c r="AE6" i="16"/>
  <c r="AD6" i="16"/>
  <c r="AC6" i="16"/>
  <c r="AB6" i="16"/>
  <c r="AA6" i="16"/>
  <c r="W6" i="16"/>
  <c r="C6" i="16"/>
  <c r="B6" i="16"/>
  <c r="C5" i="16"/>
  <c r="C4" i="16"/>
  <c r="AH3" i="16"/>
  <c r="AG3" i="16"/>
  <c r="AF3" i="16"/>
  <c r="AE3" i="16"/>
  <c r="AD3" i="16"/>
  <c r="AC3" i="16"/>
  <c r="AB3" i="16"/>
  <c r="AA3" i="16"/>
  <c r="Z3" i="16"/>
  <c r="Z12" i="16"/>
  <c r="Y3" i="16"/>
  <c r="C3" i="16"/>
  <c r="B3" i="16"/>
  <c r="C2" i="16"/>
  <c r="B2" i="16"/>
  <c r="C9" i="15"/>
  <c r="B9" i="15"/>
  <c r="C8" i="15"/>
  <c r="B8" i="15"/>
  <c r="C7" i="15"/>
  <c r="B7" i="15"/>
  <c r="C6" i="15"/>
  <c r="B6" i="15"/>
  <c r="C2" i="15"/>
  <c r="B2" i="15"/>
  <c r="AL10" i="13"/>
  <c r="AK10" i="13"/>
  <c r="AI5" i="13"/>
  <c r="AI6" i="13"/>
  <c r="AI8" i="13"/>
  <c r="AI9" i="13"/>
  <c r="AG5" i="13"/>
  <c r="AG6" i="13"/>
  <c r="AG8" i="13"/>
  <c r="AG9" i="13"/>
  <c r="AE5" i="13"/>
  <c r="AE6" i="13"/>
  <c r="AE8" i="13"/>
  <c r="AE9" i="13"/>
  <c r="AC5" i="13"/>
  <c r="AC6" i="13"/>
  <c r="AC8" i="13"/>
  <c r="AC9" i="13"/>
  <c r="AA3" i="13"/>
  <c r="AA5" i="13"/>
  <c r="AA6" i="13"/>
  <c r="AA8" i="13"/>
  <c r="AA9" i="13"/>
  <c r="AA10" i="13"/>
  <c r="Y8" i="13"/>
  <c r="Y10" i="13"/>
  <c r="W10" i="13"/>
  <c r="U10" i="13"/>
  <c r="M10" i="13"/>
  <c r="K10" i="13"/>
  <c r="I10" i="13"/>
  <c r="G10" i="13"/>
  <c r="E10" i="13"/>
  <c r="C7" i="13"/>
  <c r="B7" i="13"/>
  <c r="AH6" i="13"/>
  <c r="AF6" i="13"/>
  <c r="AD6" i="13"/>
  <c r="AB6" i="13"/>
  <c r="Z6" i="13"/>
  <c r="C6" i="13"/>
  <c r="B6" i="13"/>
  <c r="AH5" i="13"/>
  <c r="AF5" i="13"/>
  <c r="AD5" i="13"/>
  <c r="AB5" i="13"/>
  <c r="Z5" i="13"/>
  <c r="C5" i="13"/>
  <c r="B5" i="13"/>
  <c r="AI4" i="13"/>
  <c r="AH4" i="13"/>
  <c r="AG4" i="13"/>
  <c r="AF4" i="13"/>
  <c r="AE4" i="13"/>
  <c r="AD4" i="13"/>
  <c r="AC4" i="13"/>
  <c r="AB4" i="13"/>
  <c r="X4" i="13"/>
  <c r="C4" i="13"/>
  <c r="B4" i="13"/>
  <c r="AI3" i="13"/>
  <c r="AH3" i="13"/>
  <c r="AG3" i="13"/>
  <c r="AF3" i="13"/>
  <c r="AE3" i="13"/>
  <c r="AD3" i="13"/>
  <c r="AC3" i="13"/>
  <c r="AB3" i="13"/>
  <c r="Z3" i="13"/>
  <c r="C2" i="13"/>
  <c r="B2" i="13"/>
  <c r="M10" i="12"/>
  <c r="O10" i="12"/>
  <c r="C7" i="12"/>
  <c r="B7" i="12"/>
  <c r="C6" i="12"/>
  <c r="B6" i="12"/>
  <c r="C5" i="12"/>
  <c r="B5" i="12"/>
  <c r="C4" i="12"/>
  <c r="B4" i="12"/>
  <c r="C2" i="12"/>
  <c r="B2" i="12"/>
  <c r="K10" i="12"/>
  <c r="I10" i="12"/>
  <c r="G10" i="12"/>
  <c r="E10" i="12"/>
  <c r="Z3" i="12"/>
  <c r="AA3" i="12"/>
  <c r="AB3" i="12"/>
  <c r="AC3" i="12"/>
  <c r="AD3" i="12"/>
  <c r="AE3" i="12"/>
  <c r="AF3" i="12"/>
  <c r="AG3" i="12"/>
  <c r="AH3" i="12"/>
  <c r="AI3" i="12"/>
  <c r="X4" i="12"/>
  <c r="AB4" i="12"/>
  <c r="AC4" i="12"/>
  <c r="AD4" i="12"/>
  <c r="AE4" i="12"/>
  <c r="AF4" i="12"/>
  <c r="AG4" i="12"/>
  <c r="AH4" i="12"/>
  <c r="AI4" i="12"/>
  <c r="Z5" i="12"/>
  <c r="AA5" i="12"/>
  <c r="AB5" i="12"/>
  <c r="AC5" i="12"/>
  <c r="AD5" i="12"/>
  <c r="AE5" i="12"/>
  <c r="AF5" i="12"/>
  <c r="AG5" i="12"/>
  <c r="AH5" i="12"/>
  <c r="AI5" i="12"/>
  <c r="Z6" i="12"/>
  <c r="AA6" i="12"/>
  <c r="AB6" i="12"/>
  <c r="AC6" i="12"/>
  <c r="AD6" i="12"/>
  <c r="AE6" i="12"/>
  <c r="AF6" i="12"/>
  <c r="AG6" i="12"/>
  <c r="AH6" i="12"/>
  <c r="AI6" i="12"/>
  <c r="Y8" i="12"/>
  <c r="Y10" i="12"/>
  <c r="AA8" i="12"/>
  <c r="AC8" i="12"/>
  <c r="AE8" i="12"/>
  <c r="AG8" i="12"/>
  <c r="AI8" i="12"/>
  <c r="AA9" i="12"/>
  <c r="AC9" i="12"/>
  <c r="AE9" i="12"/>
  <c r="AG9" i="12"/>
  <c r="AI9" i="12"/>
  <c r="U10" i="12"/>
  <c r="W10" i="12"/>
  <c r="AK10" i="12"/>
  <c r="AL10" i="12"/>
  <c r="Q9" i="9"/>
  <c r="AN9" i="9"/>
  <c r="AM9" i="9"/>
  <c r="AK4" i="9"/>
  <c r="AK5" i="9"/>
  <c r="AK7" i="9"/>
  <c r="AK8" i="9"/>
  <c r="AI4" i="9"/>
  <c r="AI5" i="9"/>
  <c r="AI7" i="9"/>
  <c r="AI8" i="9"/>
  <c r="AG4" i="9"/>
  <c r="AG5" i="9"/>
  <c r="AG7" i="9"/>
  <c r="AG8" i="9"/>
  <c r="AE4" i="9"/>
  <c r="AE5" i="9"/>
  <c r="AE7" i="9"/>
  <c r="AE8" i="9"/>
  <c r="AC4" i="9"/>
  <c r="AC5" i="9"/>
  <c r="AC7" i="9"/>
  <c r="AC8" i="9"/>
  <c r="AC9" i="9"/>
  <c r="AA7" i="9"/>
  <c r="AA9" i="9"/>
  <c r="Y9" i="9"/>
  <c r="W9" i="9"/>
  <c r="O9" i="9"/>
  <c r="M9" i="9"/>
  <c r="K9" i="9"/>
  <c r="I9" i="9"/>
  <c r="G9" i="9"/>
  <c r="E9" i="9"/>
  <c r="C6" i="9"/>
  <c r="B6" i="9"/>
  <c r="AJ5" i="9"/>
  <c r="AH5" i="9"/>
  <c r="AF5" i="9"/>
  <c r="AD5" i="9"/>
  <c r="AB5" i="9"/>
  <c r="C5" i="9"/>
  <c r="B5" i="9"/>
  <c r="AJ4" i="9"/>
  <c r="AH4" i="9"/>
  <c r="AF4" i="9"/>
  <c r="AD4" i="9"/>
  <c r="AB4" i="9"/>
  <c r="C4" i="9"/>
  <c r="B4" i="9"/>
  <c r="AK3" i="9"/>
  <c r="AJ3" i="9"/>
  <c r="AI3" i="9"/>
  <c r="AH3" i="9"/>
  <c r="AG3" i="9"/>
  <c r="AF3" i="9"/>
  <c r="AE3" i="9"/>
  <c r="AD3" i="9"/>
  <c r="Z3" i="9"/>
  <c r="C3" i="9"/>
  <c r="B3" i="9"/>
  <c r="C2" i="9"/>
  <c r="B2" i="9"/>
  <c r="O9" i="8"/>
  <c r="M9" i="8"/>
  <c r="K9" i="8"/>
  <c r="I9" i="8"/>
  <c r="G9" i="8"/>
  <c r="E9" i="8"/>
  <c r="Q9" i="8"/>
  <c r="B2" i="8"/>
  <c r="C2" i="8"/>
  <c r="B3" i="8"/>
  <c r="C3" i="8"/>
  <c r="Z3" i="8"/>
  <c r="AD3" i="8"/>
  <c r="AE3" i="8"/>
  <c r="AF3" i="8"/>
  <c r="AG3" i="8"/>
  <c r="AH3" i="8"/>
  <c r="AI3" i="8"/>
  <c r="AJ3" i="8"/>
  <c r="AK3" i="8"/>
  <c r="B4" i="8"/>
  <c r="C4" i="8"/>
  <c r="AB4" i="8"/>
  <c r="AC4" i="8"/>
  <c r="AD4" i="8"/>
  <c r="AE4" i="8"/>
  <c r="AF4" i="8"/>
  <c r="AG4" i="8"/>
  <c r="AH4" i="8"/>
  <c r="AI4" i="8"/>
  <c r="AJ4" i="8"/>
  <c r="AK4" i="8"/>
  <c r="B5" i="8"/>
  <c r="C5" i="8"/>
  <c r="AB5" i="8"/>
  <c r="AC5" i="8"/>
  <c r="AD5" i="8"/>
  <c r="AE5" i="8"/>
  <c r="AF5" i="8"/>
  <c r="AG5" i="8"/>
  <c r="AH5" i="8"/>
  <c r="AI5" i="8"/>
  <c r="AJ5" i="8"/>
  <c r="AK5" i="8"/>
  <c r="B6" i="8"/>
  <c r="C6" i="8"/>
  <c r="AA7" i="8"/>
  <c r="AA9" i="8"/>
  <c r="AC7" i="8"/>
  <c r="AE7" i="8"/>
  <c r="AG7" i="8"/>
  <c r="AI7" i="8"/>
  <c r="AK7" i="8"/>
  <c r="AC8" i="8"/>
  <c r="AC9" i="8"/>
  <c r="AE8" i="8"/>
  <c r="AG8" i="8"/>
  <c r="AI8" i="8"/>
  <c r="AK8" i="8"/>
  <c r="W9" i="8"/>
  <c r="Y9" i="8"/>
  <c r="AM9" i="8"/>
  <c r="AN9" i="8"/>
  <c r="AN10" i="7"/>
  <c r="AM10" i="7"/>
  <c r="AK5" i="7"/>
  <c r="AK6" i="7"/>
  <c r="AK8" i="7"/>
  <c r="AK9" i="7"/>
  <c r="AI5" i="7"/>
  <c r="AI6" i="7"/>
  <c r="AI8" i="7"/>
  <c r="AI9" i="7"/>
  <c r="AG5" i="7"/>
  <c r="AG6" i="7"/>
  <c r="AG8" i="7"/>
  <c r="AG9" i="7"/>
  <c r="AE5" i="7"/>
  <c r="AE6" i="7"/>
  <c r="AE8" i="7"/>
  <c r="AE9" i="7"/>
  <c r="AC3" i="7"/>
  <c r="AC5" i="7"/>
  <c r="AC6" i="7"/>
  <c r="AC8" i="7"/>
  <c r="AC9" i="7"/>
  <c r="AC10" i="7"/>
  <c r="AA8" i="7"/>
  <c r="AA10" i="7"/>
  <c r="Y10" i="7"/>
  <c r="W10" i="7"/>
  <c r="Q10" i="7"/>
  <c r="O10" i="7"/>
  <c r="M10" i="7"/>
  <c r="K10" i="7"/>
  <c r="I10" i="7"/>
  <c r="G10" i="7"/>
  <c r="E10" i="7"/>
  <c r="C7" i="7"/>
  <c r="B7" i="7"/>
  <c r="AJ6" i="7"/>
  <c r="AH6" i="7"/>
  <c r="AF6" i="7"/>
  <c r="AD6" i="7"/>
  <c r="AB6" i="7"/>
  <c r="C6" i="7"/>
  <c r="B6" i="7"/>
  <c r="AJ5" i="7"/>
  <c r="AH5" i="7"/>
  <c r="AF5" i="7"/>
  <c r="AD5" i="7"/>
  <c r="AB5" i="7"/>
  <c r="C5" i="7"/>
  <c r="B5" i="7"/>
  <c r="AK4" i="7"/>
  <c r="AJ4" i="7"/>
  <c r="AI4" i="7"/>
  <c r="AH4" i="7"/>
  <c r="AG4" i="7"/>
  <c r="AF4" i="7"/>
  <c r="AE4" i="7"/>
  <c r="AD4" i="7"/>
  <c r="Z4" i="7"/>
  <c r="C4" i="7"/>
  <c r="B4" i="7"/>
  <c r="AK3" i="7"/>
  <c r="AJ3" i="7"/>
  <c r="AI3" i="7"/>
  <c r="AH3" i="7"/>
  <c r="AG3" i="7"/>
  <c r="AF3" i="7"/>
  <c r="AE3" i="7"/>
  <c r="AD3" i="7"/>
  <c r="AB3" i="7"/>
  <c r="C3" i="7"/>
  <c r="B3" i="7"/>
  <c r="C2" i="7"/>
  <c r="B2" i="7"/>
  <c r="O9" i="5"/>
  <c r="Q9" i="5"/>
  <c r="M9" i="5"/>
  <c r="K9" i="5"/>
  <c r="I9" i="5"/>
  <c r="G9" i="5"/>
  <c r="E9" i="5"/>
  <c r="B2" i="4"/>
  <c r="O16" i="4"/>
  <c r="O15" i="4"/>
  <c r="Q14" i="4"/>
  <c r="O14" i="4"/>
  <c r="M14" i="4"/>
  <c r="L14" i="4"/>
  <c r="K14" i="4"/>
  <c r="I14" i="4"/>
  <c r="G14" i="4"/>
  <c r="E14" i="4"/>
  <c r="P7" i="4"/>
  <c r="N7" i="4"/>
  <c r="Q13" i="3"/>
  <c r="O13" i="3"/>
  <c r="M13" i="3"/>
  <c r="L13" i="3"/>
  <c r="K13" i="3"/>
  <c r="I13" i="3"/>
  <c r="G11" i="3"/>
  <c r="G13" i="3" s="1"/>
  <c r="E13" i="3"/>
  <c r="O9" i="2"/>
  <c r="K9" i="2"/>
  <c r="I9" i="2"/>
  <c r="G9" i="2"/>
  <c r="E9" i="2"/>
  <c r="M9" i="2"/>
  <c r="L9" i="2"/>
  <c r="O9" i="1"/>
  <c r="K9" i="1"/>
  <c r="I9" i="1"/>
  <c r="G9" i="1"/>
  <c r="E9" i="1"/>
  <c r="C6" i="1"/>
  <c r="B6" i="1"/>
  <c r="C5" i="1"/>
  <c r="B5" i="1"/>
  <c r="C4" i="1"/>
  <c r="B4" i="1"/>
  <c r="C3" i="1"/>
  <c r="B3" i="1"/>
  <c r="C2" i="1"/>
  <c r="B2" i="1"/>
  <c r="C6" i="2"/>
  <c r="B6" i="2"/>
  <c r="C5" i="2"/>
  <c r="B5" i="2"/>
  <c r="C4" i="2"/>
  <c r="B4" i="2"/>
  <c r="C3" i="2"/>
  <c r="B3" i="2"/>
  <c r="C2" i="2"/>
  <c r="B2" i="2"/>
  <c r="C8" i="3"/>
  <c r="B8" i="3"/>
  <c r="B7" i="3"/>
  <c r="C7" i="3" s="1"/>
  <c r="C6" i="3"/>
  <c r="B6" i="3"/>
  <c r="B5" i="3"/>
  <c r="C5" i="3" s="1"/>
  <c r="C2" i="3"/>
  <c r="B2" i="3"/>
  <c r="C9" i="4"/>
  <c r="B9" i="4"/>
  <c r="B8" i="4"/>
  <c r="C8" i="4" s="1"/>
  <c r="C7" i="4"/>
  <c r="B7" i="4"/>
  <c r="B6" i="4"/>
  <c r="C6" i="4" s="1"/>
  <c r="C3" i="4"/>
  <c r="B3" i="4"/>
  <c r="C2" i="4"/>
  <c r="AN9" i="5"/>
  <c r="AM9" i="5"/>
  <c r="AK4" i="5"/>
  <c r="AK5" i="5"/>
  <c r="AK7" i="5"/>
  <c r="AK8" i="5"/>
  <c r="AI4" i="5"/>
  <c r="AI5" i="5"/>
  <c r="AI7" i="5"/>
  <c r="AI8" i="5"/>
  <c r="AG4" i="5"/>
  <c r="AG5" i="5"/>
  <c r="AG7" i="5"/>
  <c r="AG8" i="5"/>
  <c r="AE4" i="5"/>
  <c r="AE5" i="5"/>
  <c r="AE7" i="5"/>
  <c r="AE8" i="5"/>
  <c r="AC4" i="5"/>
  <c r="AC9" i="5"/>
  <c r="AC5" i="5"/>
  <c r="AC7" i="5"/>
  <c r="AC8" i="5"/>
  <c r="AA7" i="5"/>
  <c r="AA9" i="5"/>
  <c r="Y9" i="5"/>
  <c r="W9" i="5"/>
  <c r="C6" i="5"/>
  <c r="B6" i="5"/>
  <c r="AJ5" i="5"/>
  <c r="AH5" i="5"/>
  <c r="AF5" i="5"/>
  <c r="AD5" i="5"/>
  <c r="AB5" i="5"/>
  <c r="C5" i="5"/>
  <c r="B5" i="5"/>
  <c r="AJ4" i="5"/>
  <c r="AH4" i="5"/>
  <c r="AF4" i="5"/>
  <c r="AD4" i="5"/>
  <c r="AB4" i="5"/>
  <c r="C4" i="5"/>
  <c r="B4" i="5"/>
  <c r="AK3" i="5"/>
  <c r="AJ3" i="5"/>
  <c r="AI3" i="5"/>
  <c r="AH3" i="5"/>
  <c r="AG3" i="5"/>
  <c r="AF3" i="5"/>
  <c r="AE3" i="5"/>
  <c r="AD3" i="5"/>
  <c r="Z3" i="5"/>
  <c r="C3" i="5"/>
  <c r="B3" i="5"/>
  <c r="C2" i="5"/>
  <c r="B2" i="5"/>
  <c r="AN14" i="4"/>
  <c r="AM14" i="4"/>
  <c r="AK7" i="4"/>
  <c r="AK14" i="4" s="1"/>
  <c r="AK8" i="4"/>
  <c r="AK10" i="4"/>
  <c r="AK11" i="4"/>
  <c r="AI7" i="4"/>
  <c r="AI14" i="4" s="1"/>
  <c r="AI8" i="4"/>
  <c r="AI10" i="4"/>
  <c r="AI11" i="4"/>
  <c r="AG7" i="4"/>
  <c r="AG14" i="4" s="1"/>
  <c r="AG8" i="4"/>
  <c r="AG10" i="4"/>
  <c r="AG11" i="4"/>
  <c r="AE7" i="4"/>
  <c r="AE14" i="4" s="1"/>
  <c r="AE8" i="4"/>
  <c r="AE10" i="4"/>
  <c r="AE11" i="4"/>
  <c r="AC3" i="4"/>
  <c r="AC14" i="4" s="1"/>
  <c r="AC7" i="4"/>
  <c r="AC8" i="4"/>
  <c r="AC10" i="4"/>
  <c r="AC11" i="4"/>
  <c r="AA10" i="4"/>
  <c r="AA14" i="4"/>
  <c r="Y14" i="4"/>
  <c r="W14" i="4"/>
  <c r="AJ8" i="4"/>
  <c r="AH8" i="4"/>
  <c r="AF8" i="4"/>
  <c r="AD8" i="4"/>
  <c r="AB8" i="4"/>
  <c r="AJ7" i="4"/>
  <c r="AH7" i="4"/>
  <c r="AF7" i="4"/>
  <c r="AD7" i="4"/>
  <c r="AB7" i="4"/>
  <c r="AK6" i="4"/>
  <c r="AJ6" i="4"/>
  <c r="AI6" i="4"/>
  <c r="AH6" i="4"/>
  <c r="AG6" i="4"/>
  <c r="AF6" i="4"/>
  <c r="AE6" i="4"/>
  <c r="AD6" i="4"/>
  <c r="Z6" i="4"/>
  <c r="AK3" i="4"/>
  <c r="AJ3" i="4"/>
  <c r="AI3" i="4"/>
  <c r="AH3" i="4"/>
  <c r="AG3" i="4"/>
  <c r="AF3" i="4"/>
  <c r="AE3" i="4"/>
  <c r="AD3" i="4"/>
  <c r="AB3" i="4"/>
  <c r="AN14" i="3"/>
  <c r="AM14" i="3"/>
  <c r="AK7" i="3"/>
  <c r="AK14" i="3" s="1"/>
  <c r="AK8" i="3"/>
  <c r="AK10" i="3"/>
  <c r="AK11" i="3"/>
  <c r="AI7" i="3"/>
  <c r="AI14" i="3" s="1"/>
  <c r="AI8" i="3"/>
  <c r="AI10" i="3"/>
  <c r="AI11" i="3"/>
  <c r="AG7" i="3"/>
  <c r="AG14" i="3" s="1"/>
  <c r="AG8" i="3"/>
  <c r="AG10" i="3"/>
  <c r="AG11" i="3"/>
  <c r="AE7" i="3"/>
  <c r="AE14" i="3" s="1"/>
  <c r="AE8" i="3"/>
  <c r="AE10" i="3"/>
  <c r="AE11" i="3"/>
  <c r="AC3" i="3"/>
  <c r="AC14" i="3"/>
  <c r="AC7" i="3"/>
  <c r="AC8" i="3"/>
  <c r="AC10" i="3"/>
  <c r="AC11" i="3"/>
  <c r="AA10" i="3"/>
  <c r="AA14" i="3"/>
  <c r="Y14" i="3"/>
  <c r="W14" i="3"/>
  <c r="AJ8" i="3"/>
  <c r="AH8" i="3"/>
  <c r="AF8" i="3"/>
  <c r="AD8" i="3"/>
  <c r="AB8" i="3"/>
  <c r="AJ7" i="3"/>
  <c r="AH7" i="3"/>
  <c r="AF7" i="3"/>
  <c r="AD7" i="3"/>
  <c r="AB7" i="3"/>
  <c r="AK6" i="3"/>
  <c r="AJ6" i="3"/>
  <c r="AI6" i="3"/>
  <c r="AH6" i="3"/>
  <c r="AG6" i="3"/>
  <c r="AF6" i="3"/>
  <c r="AE6" i="3"/>
  <c r="AD6" i="3"/>
  <c r="Z6" i="3"/>
  <c r="AK3" i="3"/>
  <c r="AJ3" i="3"/>
  <c r="AI3" i="3"/>
  <c r="AH3" i="3"/>
  <c r="AG3" i="3"/>
  <c r="AF3" i="3"/>
  <c r="AE3" i="3"/>
  <c r="AD3" i="3"/>
  <c r="AB3" i="3"/>
  <c r="Z12" i="17"/>
  <c r="AA10" i="12"/>
  <c r="AG10" i="7" l="1"/>
  <c r="AK9" i="8"/>
  <c r="AJ12" i="22"/>
  <c r="AK10" i="7"/>
  <c r="AC10" i="13"/>
  <c r="AG10" i="13"/>
  <c r="AI10" i="12"/>
  <c r="AC10" i="12"/>
  <c r="AF12" i="17"/>
  <c r="AD12" i="21"/>
  <c r="AF12" i="21"/>
  <c r="AE10" i="7"/>
  <c r="AF12" i="18"/>
  <c r="AK9" i="9"/>
  <c r="AE10" i="13"/>
  <c r="AD12" i="19"/>
  <c r="AB12" i="17"/>
  <c r="AH12" i="18"/>
  <c r="AD12" i="18"/>
  <c r="AG9" i="5"/>
  <c r="AK9" i="5"/>
  <c r="AG9" i="9"/>
  <c r="AE9" i="5"/>
  <c r="AI9" i="9"/>
  <c r="AI10" i="7"/>
  <c r="AH12" i="16"/>
  <c r="AB12" i="18"/>
  <c r="AI9" i="5"/>
  <c r="AG10" i="12"/>
  <c r="AD12" i="16"/>
  <c r="AD12" i="17"/>
  <c r="AH12" i="19"/>
  <c r="Z12" i="21"/>
  <c r="AE10" i="12"/>
  <c r="AB12" i="16"/>
  <c r="AB12" i="19"/>
  <c r="AG9" i="8"/>
  <c r="AE9" i="9"/>
  <c r="AI10" i="13"/>
  <c r="AH12" i="17"/>
  <c r="AB12" i="21"/>
  <c r="AD12" i="22"/>
  <c r="AH12" i="22"/>
  <c r="AI9" i="8"/>
  <c r="AE9" i="8"/>
  <c r="AF12" i="16"/>
  <c r="AF12" i="19"/>
</calcChain>
</file>

<file path=xl/sharedStrings.xml><?xml version="1.0" encoding="utf-8"?>
<sst xmlns="http://schemas.openxmlformats.org/spreadsheetml/2006/main" count="1587" uniqueCount="195">
  <si>
    <t>EUR millions</t>
  </si>
  <si>
    <t>EUR miljoenen</t>
  </si>
  <si>
    <t>EUR million</t>
  </si>
  <si>
    <t>    </t>
  </si>
  <si>
    <t>-</t>
  </si>
  <si>
    <t>RTL Group</t>
  </si>
  <si>
    <t> </t>
  </si>
  <si>
    <t>dont options d'achat</t>
  </si>
  <si>
    <t>waarvan aankoopopties</t>
  </si>
  <si>
    <t>of which call options on</t>
  </si>
  <si>
    <t>sur titres RTL Group</t>
  </si>
  <si>
    <t>op effecten RTL Group</t>
  </si>
  <si>
    <t>RTL Group shares comprise</t>
  </si>
  <si>
    <t>TotalFinaElf</t>
  </si>
  <si>
    <t>Imerys</t>
  </si>
  <si>
    <t>Rhodia</t>
  </si>
  <si>
    <t xml:space="preserve"> /</t>
  </si>
  <si>
    <t>Autres participations</t>
  </si>
  <si>
    <t>Andere deelnemingen</t>
  </si>
  <si>
    <t>Other investments</t>
  </si>
  <si>
    <t>Cash net</t>
  </si>
  <si>
    <t>Liquide middelen (netto)</t>
  </si>
  <si>
    <t>Net cash</t>
  </si>
  <si>
    <t>of which call options</t>
  </si>
  <si>
    <t>on RTL Group shares comprise</t>
  </si>
  <si>
    <t>Actif net ajusté</t>
  </si>
  <si>
    <t xml:space="preserve">Adjusted net assets </t>
  </si>
  <si>
    <t>Actif net ajusté par action (EUR)</t>
  </si>
  <si>
    <t>Adjusted net assets per share (EUR)</t>
  </si>
  <si>
    <t>Cours de bourse (EUR)</t>
  </si>
  <si>
    <t>Beurkoers (EUR)</t>
  </si>
  <si>
    <t>Share price (EUR)</t>
  </si>
  <si>
    <t>Décote</t>
  </si>
  <si>
    <t>Disagio</t>
  </si>
  <si>
    <t>Discount</t>
  </si>
  <si>
    <t>(2) Après division du titre Suez par cinq intervenue le 15 mai 2001</t>
  </si>
  <si>
    <t>(2) Rekening houdend met de deling door 5 van de aandeel Suez op 15 mei 2001</t>
  </si>
  <si>
    <t>Eur millions</t>
  </si>
  <si>
    <t>Eur miljoenen</t>
  </si>
  <si>
    <t>Eur million</t>
  </si>
  <si>
    <t>Suez Lyonnaise des Eaux</t>
  </si>
  <si>
    <t>PetroFina</t>
  </si>
  <si>
    <t>Audiofina</t>
  </si>
  <si>
    <t>Imétal</t>
  </si>
  <si>
    <t>Royale Belge</t>
  </si>
  <si>
    <t>Cash et quasi-cash</t>
  </si>
  <si>
    <t>Cash en quasi-cash</t>
  </si>
  <si>
    <t>Cash en cash equivalents</t>
  </si>
  <si>
    <t xml:space="preserve">Actif net ajusté </t>
  </si>
  <si>
    <t>Actif net ajusté par titre (Eur)</t>
  </si>
  <si>
    <t>Adjusted net assets per security (Eur)</t>
  </si>
  <si>
    <t>Cours de bourse (Eur)</t>
  </si>
  <si>
    <t>Beurkoers (Eur)</t>
  </si>
  <si>
    <t>Share price (Eur)</t>
  </si>
  <si>
    <t>Nombre de titres GBL (1)</t>
  </si>
  <si>
    <t>Aantal titels GBL (1)</t>
  </si>
  <si>
    <t>Number of GBL securities (1)</t>
  </si>
  <si>
    <t>(1)  Nombre de titres GBL ajusté après la fusion intervenue le 26 avril 2001 : nombre multiplié par 5</t>
  </si>
  <si>
    <t xml:space="preserve">(1) Adjusted number of GBL securities after the merger on 26 April 2001: number multiplied by 5 </t>
  </si>
  <si>
    <t>Andere deelemingen</t>
  </si>
  <si>
    <t>TotalFina</t>
  </si>
  <si>
    <t>Bertelsmann (1)</t>
  </si>
  <si>
    <t>Suez  (2)</t>
  </si>
  <si>
    <t>Nombre de titres GBL (3)</t>
  </si>
  <si>
    <t>(3)  Nombre de titres GBL ajusté après la fusion intervenue le 26 avril 2001 : nombre multiplié par 5</t>
  </si>
  <si>
    <t>Aantal titels GBL (3)</t>
  </si>
  <si>
    <t>Number of GBL securities (3)</t>
  </si>
  <si>
    <t xml:space="preserve">(3) Adjusted number of GBL securities after the merger on 26 April 2001: number multiplied by 5 </t>
  </si>
  <si>
    <t>(1) Adjusted number of GBL securities after the merger on 26 April 2001: number multiplied by 5</t>
  </si>
  <si>
    <t>(1) Aantal aangepaste GBL titels na de fusie op 26 april 2001: aantal vermenigvuldigd met 5</t>
  </si>
  <si>
    <t xml:space="preserve">(1) Aantal aangepaste GBL titels na de fusie op 26 april 2001: aantal vermenigvuldigd met 5 </t>
  </si>
  <si>
    <t>(2) Taking into account the division by 5 of the Suez share on 15 May 2001</t>
  </si>
  <si>
    <t xml:space="preserve">(3) Aantal aangepaste GBL titels na de fusie op 26 april 2001: aantal vermenigvuldigd met 5 </t>
  </si>
  <si>
    <t xml:space="preserve">Suez </t>
  </si>
  <si>
    <t xml:space="preserve">Nombre d'actions GBL </t>
  </si>
  <si>
    <t>Aantal aandelen GBL</t>
  </si>
  <si>
    <t>Number of GBL shares</t>
  </si>
  <si>
    <t xml:space="preserve">Number of GBL shares </t>
  </si>
  <si>
    <t xml:space="preserve">Aantal aandelen GBL </t>
  </si>
  <si>
    <t>Total</t>
  </si>
  <si>
    <t>Imerys (2)</t>
  </si>
  <si>
    <t>Lafarge</t>
  </si>
  <si>
    <t>Pernod Ricard</t>
  </si>
  <si>
    <t>Suez</t>
  </si>
  <si>
    <t xml:space="preserve">Imerys </t>
  </si>
  <si>
    <t>Cash net, trading et actions propres</t>
  </si>
  <si>
    <t>Liquide middelen (netto), trading en eigen aandelen</t>
  </si>
  <si>
    <t>Net cash, trading and own shares</t>
  </si>
  <si>
    <t>Iberdrola</t>
  </si>
  <si>
    <t>GDF SUEZ</t>
  </si>
  <si>
    <t>Suez Environnement</t>
  </si>
  <si>
    <t>Cash net, trading et actions popres</t>
  </si>
  <si>
    <t>Arkema</t>
  </si>
  <si>
    <t>SGS</t>
  </si>
  <si>
    <t>Incubator type investments</t>
  </si>
  <si>
    <t>Financial Pillar</t>
  </si>
  <si>
    <t>13,03 (11,45)</t>
  </si>
  <si>
    <t>Pilier Financier</t>
  </si>
  <si>
    <t>Investissements Pépinière</t>
  </si>
  <si>
    <t>Financiële Pijler</t>
  </si>
  <si>
    <t>Investeringen van het Incubatortype</t>
  </si>
  <si>
    <t>18,57 (18,32)</t>
  </si>
  <si>
    <t>11,99 (11,45)</t>
  </si>
  <si>
    <t>CHF 2052</t>
  </si>
  <si>
    <t>CHF 2159</t>
  </si>
  <si>
    <t>CHF 2029</t>
  </si>
  <si>
    <t>CHF 2179</t>
  </si>
  <si>
    <t>19,86 (18,32)</t>
  </si>
  <si>
    <t>14,75 (11,45)</t>
  </si>
  <si>
    <t>CHF 2125</t>
  </si>
  <si>
    <t>20,11 (18,32)</t>
  </si>
  <si>
    <t>13,98 (11,45)</t>
  </si>
  <si>
    <t>CHF 1981</t>
  </si>
  <si>
    <t>13,40 (11,45)</t>
  </si>
  <si>
    <t>Beurkoers (euro)</t>
  </si>
  <si>
    <t>CHF 2045</t>
  </si>
  <si>
    <t>19,43 (18,32)</t>
  </si>
  <si>
    <t>14,44 (11,45)</t>
  </si>
  <si>
    <t>18,41 (18,32)</t>
  </si>
  <si>
    <t>16,03 (11,45)</t>
  </si>
  <si>
    <t xml:space="preserve">  Umicore</t>
  </si>
  <si>
    <t xml:space="preserve">  Ontex</t>
  </si>
  <si>
    <t>ENGIE</t>
  </si>
  <si>
    <t xml:space="preserve">  Anderen</t>
  </si>
  <si>
    <t xml:space="preserve">  adidas</t>
  </si>
  <si>
    <t>16,69 (11,45)</t>
  </si>
  <si>
    <t>Sienna Capital</t>
  </si>
  <si>
    <t>LafargeHolcim</t>
  </si>
  <si>
    <t>adidas</t>
  </si>
  <si>
    <t>Umicore</t>
  </si>
  <si>
    <t>Ontex</t>
  </si>
  <si>
    <t>Burberry</t>
  </si>
  <si>
    <t>GEA</t>
  </si>
  <si>
    <t>Parques</t>
  </si>
  <si>
    <t>Anderen</t>
  </si>
  <si>
    <t>Netto-actiefwaarde</t>
  </si>
  <si>
    <t>Netto-actiefwaarde per aandeel (euro)</t>
  </si>
  <si>
    <t>Netto-actiefwaarde per aandeel (EUR)</t>
  </si>
  <si>
    <t xml:space="preserve">Netto-actiefwaarde </t>
  </si>
  <si>
    <t>Netto-actiefwaarde per titel (Eur)</t>
  </si>
  <si>
    <t>Parques Reunidos</t>
  </si>
  <si>
    <t>Webhelp</t>
  </si>
  <si>
    <t>Nettoschuld, trading en eigen aandelen</t>
  </si>
  <si>
    <t>Mowi</t>
  </si>
  <si>
    <t>Canyon</t>
  </si>
  <si>
    <t>NOK 212,20</t>
  </si>
  <si>
    <t>NOK 219,00</t>
  </si>
  <si>
    <t>Holcim</t>
  </si>
  <si>
    <t>TotalEnergies</t>
  </si>
  <si>
    <t>NOK 222,10</t>
  </si>
  <si>
    <t>Voodoo</t>
  </si>
  <si>
    <t>NOK 208.7</t>
  </si>
  <si>
    <t>CHF 2,576</t>
  </si>
  <si>
    <t>CHF 3,047</t>
  </si>
  <si>
    <t>NOK 238.0</t>
  </si>
  <si>
    <t>CHF 2,185</t>
  </si>
  <si>
    <t>CHF 40.85</t>
  </si>
  <si>
    <t>NOK 224.1</t>
  </si>
  <si>
    <t>Affidea</t>
  </si>
  <si>
    <t>Sanoptis</t>
  </si>
  <si>
    <t>CHF 2,125</t>
  </si>
  <si>
    <t>CHF 40.98</t>
  </si>
  <si>
    <t>NOK 138.5</t>
  </si>
  <si>
    <t>CHF 2,150</t>
  </si>
  <si>
    <t>CHF 47.88</t>
  </si>
  <si>
    <t>NOK 167.20</t>
  </si>
  <si>
    <t>GBL Capital</t>
  </si>
  <si>
    <t>Sienna Investment Managers</t>
  </si>
  <si>
    <t>CHF 58.90</t>
  </si>
  <si>
    <t>CHF 84.56</t>
  </si>
  <si>
    <t>CHF 77.02</t>
  </si>
  <si>
    <t>USD 80.36</t>
  </si>
  <si>
    <r>
      <t>SGS</t>
    </r>
    <r>
      <rPr>
        <vertAlign val="superscript"/>
        <sz val="10"/>
        <rFont val="Calibri"/>
        <family val="2"/>
        <scheme val="minor"/>
      </rPr>
      <t>1</t>
    </r>
  </si>
  <si>
    <r>
      <t>Concentrix + Webhelp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</si>
  <si>
    <t>CHF 2,011</t>
  </si>
  <si>
    <r>
      <t xml:space="preserve">1 </t>
    </r>
    <r>
      <rPr>
        <sz val="10"/>
        <rFont val="Calibri"/>
        <family val="2"/>
        <scheme val="minor"/>
      </rPr>
      <t>Weerspiegelt een 25:1 aandelensplitsing per 12 april 2023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</si>
  <si>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Inclusief de marktwaarde van de earn-out aandelen op 30 september 2023, d.w.z. €21m </t>
    </r>
  </si>
  <si>
    <r>
      <t xml:space="preserve">Nettoschuld, trading, eigen aandelen en </t>
    </r>
    <r>
      <rPr>
        <i/>
        <sz val="10"/>
        <rFont val="Calibri"/>
        <family val="2"/>
        <scheme val="minor"/>
      </rPr>
      <t>Concentrix note</t>
    </r>
    <r>
      <rPr>
        <vertAlign val="superscript"/>
        <sz val="10"/>
        <rFont val="Calibri"/>
        <family val="2"/>
        <scheme val="minor"/>
      </rPr>
      <t>3</t>
    </r>
  </si>
  <si>
    <t>CHF 72.54</t>
  </si>
  <si>
    <t>USD 98.21</t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</si>
  <si>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Inclusief de marktwaarde van de earn-out aandelen op 31 december 2023, d.w.z. €27m </t>
    </r>
  </si>
  <si>
    <r>
      <t xml:space="preserve">3 </t>
    </r>
    <r>
      <rPr>
        <i/>
        <sz val="10"/>
        <rFont val="Calibri"/>
        <family val="2"/>
        <scheme val="minor"/>
      </rPr>
      <t>Concentrix vordering</t>
    </r>
    <r>
      <rPr>
        <sz val="10"/>
        <rFont val="Calibri"/>
        <family val="2"/>
        <scheme val="minor"/>
      </rPr>
      <t xml:space="preserve"> vanaf de resultaten van 30 september 2023 </t>
    </r>
  </si>
  <si>
    <t>Other</t>
  </si>
  <si>
    <t xml:space="preserve">Sienna Investment Managers </t>
  </si>
  <si>
    <r>
      <t xml:space="preserve">Nettoschuld, trading, eigen aandelen en </t>
    </r>
    <r>
      <rPr>
        <i/>
        <sz val="10"/>
        <rFont val="Calibri"/>
        <family val="2"/>
        <scheme val="minor"/>
      </rPr>
      <t>Concentrix note</t>
    </r>
  </si>
  <si>
    <r>
      <t>Concentrix</t>
    </r>
    <r>
      <rPr>
        <vertAlign val="superscript"/>
        <sz val="10"/>
        <rFont val="Calibri"/>
        <family val="2"/>
        <scheme val="minor"/>
      </rPr>
      <t xml:space="preserve">1 </t>
    </r>
  </si>
  <si>
    <t>CHF 87.50</t>
  </si>
  <si>
    <t>USD 66.22</t>
  </si>
  <si>
    <r>
      <t xml:space="preserve">1 </t>
    </r>
    <r>
      <rPr>
        <sz val="10"/>
        <rFont val="Calibri"/>
        <family val="2"/>
        <scheme val="minor"/>
      </rPr>
      <t>Inclusief de marktwaarde van de earn-out aandelen, als volgt:</t>
    </r>
  </si>
  <si>
    <t>CHF 80.00</t>
  </si>
  <si>
    <t>USD 63.28</t>
  </si>
  <si>
    <t>CHF 94.34</t>
  </si>
  <si>
    <t>USD 51.25</t>
  </si>
  <si>
    <t>CHF 90.88</t>
  </si>
  <si>
    <t>USD 43.27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</si>
</sst>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/mm/yy;@"/>
    <numFmt numFmtId="165" formatCode="d/m/yy"/>
    <numFmt numFmtId="166" formatCode="#,##0;\(#,##0\)"/>
    <numFmt numFmtId="167" formatCode="0.0%"/>
    <numFmt numFmtId="168" formatCode="dd\-mm\-yy;@"/>
    <numFmt numFmtId="169" formatCode="&quot;CHF&quot;\ #,##0"/>
    <numFmt numFmtId="170" formatCode="&quot;GBP&quot;\ #,##0.00"/>
    <numFmt numFmtId="171" formatCode="&quot;CHF&quot;\ #,##0.00"/>
    <numFmt numFmtId="172" formatCode="&quot;NOK&quot;\ #,##0.00"/>
    <numFmt numFmtId="173" formatCode="#,##0.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indexed="5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i/>
      <sz val="10"/>
      <color indexed="5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indexed="53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/>
      <name val="Arial"/>
      <family val="2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1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4" fontId="5" fillId="2" borderId="0" xfId="0" applyNumberFormat="1" applyFont="1" applyFill="1" applyAlignment="1">
      <alignment vertical="top" wrapText="1"/>
    </xf>
    <xf numFmtId="168" fontId="4" fillId="2" borderId="2" xfId="0" applyNumberFormat="1" applyFont="1" applyFill="1" applyBorder="1"/>
    <xf numFmtId="164" fontId="4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165" fontId="4" fillId="2" borderId="0" xfId="0" applyNumberFormat="1" applyFont="1" applyFill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4" fontId="7" fillId="2" borderId="0" xfId="0" applyNumberFormat="1" applyFont="1" applyFill="1" applyAlignment="1">
      <alignment horizontal="right" vertical="top" wrapText="1"/>
    </xf>
    <xf numFmtId="14" fontId="4" fillId="2" borderId="0" xfId="0" applyNumberFormat="1" applyFont="1" applyFill="1" applyAlignment="1">
      <alignment horizontal="right" vertical="top" wrapText="1"/>
    </xf>
    <xf numFmtId="4" fontId="7" fillId="2" borderId="0" xfId="0" applyNumberFormat="1" applyFont="1" applyFill="1" applyAlignment="1">
      <alignment vertical="top" wrapText="1"/>
    </xf>
    <xf numFmtId="0" fontId="7" fillId="2" borderId="0" xfId="0" applyFont="1" applyFill="1"/>
    <xf numFmtId="0" fontId="3" fillId="0" borderId="0" xfId="0" applyFont="1" applyAlignment="1">
      <alignment vertical="top" wrapText="1"/>
    </xf>
    <xf numFmtId="4" fontId="8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vertical="top" wrapText="1"/>
    </xf>
    <xf numFmtId="3" fontId="3" fillId="0" borderId="0" xfId="0" applyNumberFormat="1" applyFont="1" applyAlignment="1">
      <alignment vertical="top" wrapText="1"/>
    </xf>
    <xf numFmtId="4" fontId="9" fillId="0" borderId="0" xfId="0" applyNumberFormat="1" applyFont="1" applyAlignment="1">
      <alignment vertical="top" wrapText="1"/>
    </xf>
    <xf numFmtId="3" fontId="10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165" fontId="10" fillId="0" borderId="0" xfId="0" applyNumberFormat="1" applyFont="1" applyAlignment="1">
      <alignment horizontal="right" vertical="top" wrapText="1"/>
    </xf>
    <xf numFmtId="4" fontId="10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14" fontId="10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Font="1"/>
    <xf numFmtId="3" fontId="3" fillId="0" borderId="2" xfId="0" quotePrefix="1" applyNumberFormat="1" applyFont="1" applyBorder="1" applyAlignment="1">
      <alignment horizontal="right" vertical="top" wrapText="1"/>
    </xf>
    <xf numFmtId="3" fontId="3" fillId="0" borderId="0" xfId="0" quotePrefix="1" applyNumberFormat="1" applyFont="1" applyAlignment="1">
      <alignment horizontal="right" vertical="top" wrapText="1"/>
    </xf>
    <xf numFmtId="4" fontId="11" fillId="0" borderId="0" xfId="0" applyNumberFormat="1" applyFont="1" applyAlignment="1">
      <alignment vertical="top" wrapText="1"/>
    </xf>
    <xf numFmtId="3" fontId="3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4" fontId="11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top" wrapText="1"/>
    </xf>
    <xf numFmtId="166" fontId="9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 vertical="top" wrapText="1"/>
    </xf>
    <xf numFmtId="166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top" wrapText="1"/>
    </xf>
    <xf numFmtId="4" fontId="11" fillId="0" borderId="0" xfId="0" applyNumberFormat="1" applyFont="1" applyAlignment="1">
      <alignment horizontal="right"/>
    </xf>
    <xf numFmtId="0" fontId="3" fillId="0" borderId="2" xfId="0" applyFont="1" applyBorder="1"/>
    <xf numFmtId="0" fontId="12" fillId="0" borderId="0" xfId="0" applyFont="1"/>
    <xf numFmtId="0" fontId="3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4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vertical="top" wrapText="1"/>
    </xf>
    <xf numFmtId="166" fontId="12" fillId="0" borderId="0" xfId="0" applyNumberFormat="1" applyFont="1"/>
    <xf numFmtId="166" fontId="11" fillId="0" borderId="0" xfId="0" applyNumberFormat="1" applyFont="1" applyAlignment="1">
      <alignment vertical="top" wrapText="1"/>
    </xf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/>
    <xf numFmtId="3" fontId="10" fillId="0" borderId="3" xfId="0" applyNumberFormat="1" applyFont="1" applyBorder="1" applyAlignment="1">
      <alignment vertical="top" wrapText="1"/>
    </xf>
    <xf numFmtId="3" fontId="10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4" fontId="10" fillId="0" borderId="0" xfId="0" applyNumberFormat="1" applyFont="1" applyAlignment="1">
      <alignment wrapText="1"/>
    </xf>
    <xf numFmtId="4" fontId="13" fillId="0" borderId="0" xfId="0" applyNumberFormat="1" applyFont="1"/>
    <xf numFmtId="4" fontId="10" fillId="0" borderId="2" xfId="0" applyNumberFormat="1" applyFont="1" applyBorder="1" applyAlignment="1">
      <alignment horizontal="right" wrapText="1"/>
    </xf>
    <xf numFmtId="4" fontId="10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wrapText="1"/>
    </xf>
    <xf numFmtId="4" fontId="10" fillId="0" borderId="0" xfId="0" applyNumberFormat="1" applyFont="1"/>
    <xf numFmtId="4" fontId="10" fillId="0" borderId="2" xfId="0" applyNumberFormat="1" applyFont="1" applyBorder="1" applyAlignment="1">
      <alignment wrapText="1"/>
    </xf>
    <xf numFmtId="167" fontId="10" fillId="0" borderId="0" xfId="0" applyNumberFormat="1" applyFont="1" applyAlignment="1">
      <alignment vertical="top" wrapText="1"/>
    </xf>
    <xf numFmtId="167" fontId="13" fillId="0" borderId="0" xfId="0" applyNumberFormat="1" applyFont="1"/>
    <xf numFmtId="167" fontId="10" fillId="0" borderId="2" xfId="0" applyNumberFormat="1" applyFont="1" applyBorder="1" applyAlignment="1">
      <alignment vertical="top" wrapText="1"/>
    </xf>
    <xf numFmtId="167" fontId="14" fillId="0" borderId="0" xfId="0" applyNumberFormat="1" applyFont="1" applyAlignment="1">
      <alignment vertical="top" wrapText="1"/>
    </xf>
    <xf numFmtId="167" fontId="10" fillId="0" borderId="0" xfId="0" applyNumberFormat="1" applyFont="1"/>
    <xf numFmtId="167" fontId="10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vertical="top"/>
    </xf>
    <xf numFmtId="0" fontId="13" fillId="0" borderId="0" xfId="0" applyFont="1"/>
    <xf numFmtId="3" fontId="10" fillId="0" borderId="2" xfId="0" applyNumberFormat="1" applyFont="1" applyBorder="1" applyAlignment="1">
      <alignment vertical="top"/>
    </xf>
    <xf numFmtId="3" fontId="13" fillId="0" borderId="0" xfId="0" applyNumberFormat="1" applyFont="1"/>
    <xf numFmtId="4" fontId="8" fillId="0" borderId="0" xfId="0" applyNumberFormat="1" applyFont="1"/>
    <xf numFmtId="0" fontId="11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0" xfId="0" applyFont="1"/>
    <xf numFmtId="0" fontId="4" fillId="2" borderId="0" xfId="1" applyFont="1" applyFill="1" applyAlignment="1">
      <alignment vertical="top" wrapText="1"/>
    </xf>
    <xf numFmtId="0" fontId="7" fillId="2" borderId="0" xfId="1" applyFont="1" applyFill="1"/>
    <xf numFmtId="0" fontId="3" fillId="0" borderId="0" xfId="1" applyFont="1"/>
    <xf numFmtId="0" fontId="7" fillId="3" borderId="0" xfId="1" applyFont="1" applyFill="1"/>
    <xf numFmtId="169" fontId="8" fillId="0" borderId="0" xfId="0" applyNumberFormat="1" applyFont="1" applyAlignment="1">
      <alignment horizontal="right" vertical="top" wrapText="1"/>
    </xf>
    <xf numFmtId="170" fontId="8" fillId="0" borderId="0" xfId="0" applyNumberFormat="1" applyFont="1" applyAlignment="1">
      <alignment horizontal="righ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166" fontId="3" fillId="0" borderId="0" xfId="1" applyNumberFormat="1" applyFont="1"/>
    <xf numFmtId="0" fontId="10" fillId="0" borderId="1" xfId="1" applyFont="1" applyBorder="1"/>
    <xf numFmtId="4" fontId="10" fillId="0" borderId="0" xfId="1" applyNumberFormat="1" applyFont="1"/>
    <xf numFmtId="167" fontId="10" fillId="0" borderId="0" xfId="1" applyNumberFormat="1" applyFont="1"/>
    <xf numFmtId="0" fontId="10" fillId="0" borderId="0" xfId="1" applyFont="1"/>
    <xf numFmtId="166" fontId="9" fillId="0" borderId="0" xfId="1" applyNumberFormat="1" applyFont="1" applyAlignment="1">
      <alignment horizontal="right"/>
    </xf>
    <xf numFmtId="4" fontId="8" fillId="0" borderId="0" xfId="1" applyNumberFormat="1" applyFont="1"/>
    <xf numFmtId="0" fontId="3" fillId="0" borderId="2" xfId="1" applyFont="1" applyBorder="1"/>
    <xf numFmtId="3" fontId="8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vertical="top" wrapText="1"/>
    </xf>
    <xf numFmtId="164" fontId="4" fillId="3" borderId="0" xfId="0" applyNumberFormat="1" applyFont="1" applyFill="1" applyAlignment="1">
      <alignment vertical="top" wrapText="1"/>
    </xf>
    <xf numFmtId="4" fontId="4" fillId="3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165" fontId="4" fillId="3" borderId="0" xfId="0" applyNumberFormat="1" applyFont="1" applyFill="1" applyAlignment="1">
      <alignment horizontal="right" vertical="top" wrapText="1"/>
    </xf>
    <xf numFmtId="4" fontId="4" fillId="3" borderId="0" xfId="0" applyNumberFormat="1" applyFont="1" applyFill="1" applyAlignment="1">
      <alignment horizontal="right" vertical="top" wrapText="1"/>
    </xf>
    <xf numFmtId="4" fontId="7" fillId="3" borderId="0" xfId="0" applyNumberFormat="1" applyFont="1" applyFill="1" applyAlignment="1">
      <alignment horizontal="right" vertical="top" wrapText="1"/>
    </xf>
    <xf numFmtId="14" fontId="4" fillId="3" borderId="0" xfId="0" applyNumberFormat="1" applyFont="1" applyFill="1" applyAlignment="1">
      <alignment horizontal="right" vertical="top" wrapText="1"/>
    </xf>
    <xf numFmtId="4" fontId="7" fillId="3" borderId="0" xfId="0" applyNumberFormat="1" applyFont="1" applyFill="1" applyAlignment="1">
      <alignment vertical="top" wrapText="1"/>
    </xf>
    <xf numFmtId="0" fontId="7" fillId="3" borderId="0" xfId="0" applyFont="1" applyFill="1"/>
    <xf numFmtId="3" fontId="10" fillId="0" borderId="1" xfId="0" applyNumberFormat="1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vertical="top" wrapText="1"/>
    </xf>
    <xf numFmtId="0" fontId="10" fillId="0" borderId="1" xfId="0" applyFont="1" applyBorder="1"/>
    <xf numFmtId="168" fontId="12" fillId="2" borderId="0" xfId="0" applyNumberFormat="1" applyFont="1" applyFill="1"/>
    <xf numFmtId="168" fontId="5" fillId="2" borderId="0" xfId="0" applyNumberFormat="1" applyFont="1" applyFill="1" applyAlignment="1">
      <alignment vertical="top" wrapText="1"/>
    </xf>
    <xf numFmtId="3" fontId="9" fillId="0" borderId="2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vertical="top" wrapText="1"/>
    </xf>
    <xf numFmtId="4" fontId="5" fillId="0" borderId="0" xfId="0" applyNumberFormat="1" applyFont="1" applyAlignment="1">
      <alignment wrapText="1"/>
    </xf>
    <xf numFmtId="3" fontId="10" fillId="0" borderId="2" xfId="0" applyNumberFormat="1" applyFont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164" fontId="4" fillId="2" borderId="2" xfId="0" applyNumberFormat="1" applyFont="1" applyFill="1" applyBorder="1" applyAlignment="1">
      <alignment vertical="top" wrapText="1"/>
    </xf>
    <xf numFmtId="4" fontId="15" fillId="2" borderId="0" xfId="0" applyNumberFormat="1" applyFont="1" applyFill="1" applyAlignment="1">
      <alignment vertical="top" wrapText="1"/>
    </xf>
    <xf numFmtId="0" fontId="11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4" fontId="11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wrapText="1"/>
    </xf>
    <xf numFmtId="0" fontId="11" fillId="0" borderId="2" xfId="0" applyFont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right" vertical="top" wrapText="1"/>
    </xf>
    <xf numFmtId="0" fontId="15" fillId="2" borderId="0" xfId="0" applyFont="1" applyFill="1" applyAlignment="1">
      <alignment vertical="top" wrapText="1"/>
    </xf>
    <xf numFmtId="0" fontId="4" fillId="2" borderId="0" xfId="0" applyFont="1" applyFill="1"/>
    <xf numFmtId="3" fontId="11" fillId="0" borderId="0" xfId="0" applyNumberFormat="1" applyFont="1" applyAlignment="1">
      <alignment vertical="top" wrapText="1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166" fontId="9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left" vertical="top" wrapText="1"/>
    </xf>
    <xf numFmtId="166" fontId="8" fillId="0" borderId="0" xfId="0" applyNumberFormat="1" applyFont="1" applyAlignment="1">
      <alignment horizontal="left" vertical="top" wrapText="1"/>
    </xf>
    <xf numFmtId="166" fontId="9" fillId="0" borderId="2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right" vertical="top" wrapText="1"/>
    </xf>
    <xf numFmtId="166" fontId="3" fillId="0" borderId="2" xfId="0" applyNumberFormat="1" applyFont="1" applyBorder="1"/>
    <xf numFmtId="166" fontId="8" fillId="0" borderId="0" xfId="0" applyNumberFormat="1" applyFont="1" applyAlignment="1">
      <alignment horizontal="right" vertical="top" wrapText="1"/>
    </xf>
    <xf numFmtId="4" fontId="10" fillId="0" borderId="1" xfId="0" applyNumberFormat="1" applyFont="1" applyBorder="1" applyAlignment="1">
      <alignment wrapText="1"/>
    </xf>
    <xf numFmtId="3" fontId="10" fillId="0" borderId="3" xfId="0" applyNumberFormat="1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vertical="top" wrapText="1"/>
    </xf>
    <xf numFmtId="4" fontId="10" fillId="0" borderId="2" xfId="0" applyNumberFormat="1" applyFont="1" applyBorder="1" applyAlignment="1">
      <alignment horizontal="right" vertical="top" wrapText="1"/>
    </xf>
    <xf numFmtId="4" fontId="10" fillId="0" borderId="2" xfId="0" applyNumberFormat="1" applyFont="1" applyBorder="1"/>
    <xf numFmtId="167" fontId="5" fillId="0" borderId="0" xfId="0" applyNumberFormat="1" applyFont="1" applyAlignment="1">
      <alignment vertical="top" wrapText="1"/>
    </xf>
    <xf numFmtId="167" fontId="10" fillId="0" borderId="2" xfId="0" applyNumberFormat="1" applyFont="1" applyBorder="1"/>
    <xf numFmtId="167" fontId="11" fillId="0" borderId="0" xfId="0" applyNumberFormat="1" applyFont="1" applyAlignment="1">
      <alignment vertical="top" wrapText="1"/>
    </xf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 vertical="top" wrapText="1"/>
    </xf>
    <xf numFmtId="167" fontId="3" fillId="0" borderId="0" xfId="0" applyNumberFormat="1" applyFont="1" applyAlignment="1">
      <alignment vertical="top" wrapText="1"/>
    </xf>
    <xf numFmtId="3" fontId="10" fillId="0" borderId="2" xfId="0" applyNumberFormat="1" applyFont="1" applyBorder="1" applyAlignment="1">
      <alignment horizontal="right" vertical="top" wrapText="1"/>
    </xf>
    <xf numFmtId="4" fontId="8" fillId="0" borderId="0" xfId="0" applyNumberFormat="1" applyFont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left"/>
    </xf>
    <xf numFmtId="4" fontId="12" fillId="0" borderId="0" xfId="0" applyNumberFormat="1" applyFont="1"/>
    <xf numFmtId="0" fontId="9" fillId="0" borderId="0" xfId="0" applyFont="1" applyAlignment="1">
      <alignment horizontal="right" vertical="top" wrapText="1"/>
    </xf>
    <xf numFmtId="166" fontId="3" fillId="0" borderId="0" xfId="0" applyNumberFormat="1" applyFont="1" applyAlignment="1">
      <alignment horizontal="left"/>
    </xf>
    <xf numFmtId="166" fontId="11" fillId="0" borderId="1" xfId="0" applyNumberFormat="1" applyFont="1" applyBorder="1" applyAlignment="1">
      <alignment horizontal="left" vertical="top" wrapText="1"/>
    </xf>
    <xf numFmtId="166" fontId="9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166" fontId="9" fillId="0" borderId="1" xfId="0" applyNumberFormat="1" applyFont="1" applyBorder="1" applyAlignment="1">
      <alignment horizontal="left" vertical="top" wrapText="1"/>
    </xf>
    <xf numFmtId="166" fontId="9" fillId="0" borderId="1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wrapText="1"/>
    </xf>
    <xf numFmtId="4" fontId="6" fillId="2" borderId="0" xfId="0" applyNumberFormat="1" applyFont="1" applyFill="1" applyAlignment="1">
      <alignment vertical="top" wrapText="1"/>
    </xf>
    <xf numFmtId="0" fontId="3" fillId="0" borderId="2" xfId="0" quotePrefix="1" applyFont="1" applyBorder="1" applyAlignment="1">
      <alignment horizontal="right" vertical="top" wrapText="1"/>
    </xf>
    <xf numFmtId="0" fontId="3" fillId="0" borderId="0" xfId="0" quotePrefix="1" applyFont="1" applyAlignment="1">
      <alignment horizontal="right" vertical="top" wrapText="1"/>
    </xf>
    <xf numFmtId="0" fontId="11" fillId="0" borderId="1" xfId="0" applyFont="1" applyBorder="1"/>
    <xf numFmtId="4" fontId="3" fillId="0" borderId="1" xfId="0" applyNumberFormat="1" applyFont="1" applyBorder="1"/>
    <xf numFmtId="4" fontId="8" fillId="2" borderId="2" xfId="0" applyNumberFormat="1" applyFont="1" applyFill="1" applyBorder="1" applyAlignment="1">
      <alignment vertical="top" wrapText="1"/>
    </xf>
    <xf numFmtId="4" fontId="8" fillId="0" borderId="2" xfId="0" applyNumberFormat="1" applyFont="1" applyBorder="1" applyAlignment="1">
      <alignment vertical="top" wrapText="1"/>
    </xf>
    <xf numFmtId="3" fontId="3" fillId="0" borderId="0" xfId="0" applyNumberFormat="1" applyFont="1" applyAlignment="1">
      <alignment horizontal="right" vertical="top"/>
    </xf>
    <xf numFmtId="4" fontId="5" fillId="0" borderId="3" xfId="0" applyNumberFormat="1" applyFont="1" applyBorder="1" applyAlignment="1">
      <alignment vertical="top" wrapText="1"/>
    </xf>
    <xf numFmtId="4" fontId="13" fillId="0" borderId="3" xfId="0" applyNumberFormat="1" applyFont="1" applyBorder="1" applyAlignment="1">
      <alignment horizontal="right" vertical="top" wrapText="1"/>
    </xf>
    <xf numFmtId="4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8" fillId="0" borderId="2" xfId="0" applyFont="1" applyBorder="1"/>
    <xf numFmtId="4" fontId="8" fillId="0" borderId="2" xfId="0" applyNumberFormat="1" applyFont="1" applyBorder="1"/>
    <xf numFmtId="4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horizontal="right" vertical="top" wrapText="1"/>
    </xf>
    <xf numFmtId="169" fontId="17" fillId="0" borderId="0" xfId="0" applyNumberFormat="1" applyFont="1" applyAlignment="1">
      <alignment horizontal="right" vertical="top" wrapText="1"/>
    </xf>
    <xf numFmtId="4" fontId="5" fillId="2" borderId="0" xfId="1" applyNumberFormat="1" applyFont="1" applyFill="1" applyAlignment="1">
      <alignment vertical="top" wrapText="1"/>
    </xf>
    <xf numFmtId="168" fontId="4" fillId="2" borderId="2" xfId="1" applyNumberFormat="1" applyFont="1" applyFill="1" applyBorder="1"/>
    <xf numFmtId="0" fontId="1" fillId="0" borderId="0" xfId="1"/>
    <xf numFmtId="169" fontId="17" fillId="0" borderId="0" xfId="1" applyNumberFormat="1" applyFont="1" applyAlignment="1">
      <alignment horizontal="right" vertical="top" wrapText="1"/>
    </xf>
    <xf numFmtId="3" fontId="3" fillId="0" borderId="2" xfId="1" applyNumberFormat="1" applyFont="1" applyBorder="1" applyAlignment="1">
      <alignment vertical="top" wrapText="1"/>
    </xf>
    <xf numFmtId="3" fontId="1" fillId="0" borderId="0" xfId="1" applyNumberFormat="1"/>
    <xf numFmtId="4" fontId="17" fillId="0" borderId="0" xfId="1" applyNumberFormat="1" applyFont="1" applyAlignment="1">
      <alignment vertical="top" wrapText="1"/>
    </xf>
    <xf numFmtId="4" fontId="17" fillId="0" borderId="0" xfId="1" applyNumberFormat="1" applyFont="1" applyAlignment="1">
      <alignment horizontal="right" vertical="top" wrapText="1"/>
    </xf>
    <xf numFmtId="171" fontId="17" fillId="0" borderId="0" xfId="1" applyNumberFormat="1" applyFont="1" applyAlignment="1">
      <alignment horizontal="right" vertical="top" wrapText="1"/>
    </xf>
    <xf numFmtId="3" fontId="3" fillId="0" borderId="2" xfId="1" applyNumberFormat="1" applyFont="1" applyBorder="1" applyAlignment="1">
      <alignment horizontal="right" vertical="top" wrapText="1"/>
    </xf>
    <xf numFmtId="4" fontId="8" fillId="0" borderId="0" xfId="1" applyNumberFormat="1" applyFont="1" applyAlignment="1">
      <alignment horizontal="right" vertical="top" wrapText="1"/>
    </xf>
    <xf numFmtId="4" fontId="8" fillId="0" borderId="0" xfId="1" applyNumberFormat="1" applyFont="1" applyAlignment="1">
      <alignment vertical="top" wrapText="1"/>
    </xf>
    <xf numFmtId="166" fontId="12" fillId="0" borderId="0" xfId="1" applyNumberFormat="1" applyFont="1"/>
    <xf numFmtId="0" fontId="13" fillId="0" borderId="1" xfId="1" applyFont="1" applyBorder="1"/>
    <xf numFmtId="3" fontId="10" fillId="0" borderId="3" xfId="1" applyNumberFormat="1" applyFont="1" applyBorder="1" applyAlignment="1">
      <alignment vertical="top" wrapText="1"/>
    </xf>
    <xf numFmtId="4" fontId="13" fillId="0" borderId="0" xfId="1" applyNumberFormat="1" applyFont="1"/>
    <xf numFmtId="4" fontId="10" fillId="0" borderId="2" xfId="1" applyNumberFormat="1" applyFont="1" applyBorder="1" applyAlignment="1">
      <alignment horizontal="right" wrapText="1"/>
    </xf>
    <xf numFmtId="4" fontId="10" fillId="0" borderId="2" xfId="1" applyNumberFormat="1" applyFont="1" applyBorder="1" applyAlignment="1">
      <alignment wrapText="1"/>
    </xf>
    <xf numFmtId="167" fontId="13" fillId="0" borderId="0" xfId="1" applyNumberFormat="1" applyFont="1"/>
    <xf numFmtId="167" fontId="10" fillId="0" borderId="2" xfId="1" applyNumberFormat="1" applyFont="1" applyBorder="1" applyAlignment="1">
      <alignment vertical="top" wrapText="1"/>
    </xf>
    <xf numFmtId="0" fontId="13" fillId="0" borderId="0" xfId="1" applyFont="1"/>
    <xf numFmtId="3" fontId="10" fillId="0" borderId="2" xfId="1" applyNumberFormat="1" applyFont="1" applyBorder="1" applyAlignment="1">
      <alignment vertical="top"/>
    </xf>
    <xf numFmtId="0" fontId="12" fillId="0" borderId="0" xfId="1" applyFont="1" applyAlignment="1">
      <alignment horizontal="center" vertical="top" wrapText="1"/>
    </xf>
    <xf numFmtId="4" fontId="11" fillId="0" borderId="2" xfId="1" applyNumberFormat="1" applyFont="1" applyBorder="1" applyAlignment="1">
      <alignment horizontal="center" vertical="top" wrapText="1"/>
    </xf>
    <xf numFmtId="0" fontId="8" fillId="0" borderId="0" xfId="1" applyFont="1"/>
    <xf numFmtId="166" fontId="3" fillId="0" borderId="0" xfId="0" applyNumberFormat="1" applyFont="1" applyAlignment="1">
      <alignment vertical="top"/>
    </xf>
    <xf numFmtId="171" fontId="17" fillId="0" borderId="0" xfId="0" applyNumberFormat="1" applyFont="1" applyAlignment="1">
      <alignment horizontal="right" vertical="top" wrapText="1"/>
    </xf>
    <xf numFmtId="3" fontId="0" fillId="0" borderId="0" xfId="0" applyNumberFormat="1"/>
    <xf numFmtId="172" fontId="17" fillId="0" borderId="0" xfId="0" applyNumberFormat="1" applyFont="1" applyAlignment="1">
      <alignment horizontal="right" vertical="top" wrapText="1"/>
    </xf>
    <xf numFmtId="0" fontId="0" fillId="3" borderId="0" xfId="0" applyFill="1"/>
    <xf numFmtId="3" fontId="0" fillId="3" borderId="0" xfId="0" applyNumberFormat="1" applyFill="1"/>
    <xf numFmtId="0" fontId="3" fillId="3" borderId="0" xfId="0" applyFont="1" applyFill="1" applyAlignment="1">
      <alignment horizontal="left" vertical="top" wrapText="1"/>
    </xf>
    <xf numFmtId="4" fontId="17" fillId="3" borderId="0" xfId="0" applyNumberFormat="1" applyFont="1" applyFill="1" applyAlignment="1">
      <alignment vertical="top" wrapText="1"/>
    </xf>
    <xf numFmtId="3" fontId="3" fillId="3" borderId="2" xfId="0" applyNumberFormat="1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169" fontId="17" fillId="3" borderId="0" xfId="0" applyNumberFormat="1" applyFont="1" applyFill="1" applyAlignment="1">
      <alignment horizontal="right" vertical="top" wrapText="1"/>
    </xf>
    <xf numFmtId="4" fontId="17" fillId="3" borderId="0" xfId="0" applyNumberFormat="1" applyFont="1" applyFill="1" applyAlignment="1">
      <alignment horizontal="right" vertical="top" wrapText="1"/>
    </xf>
    <xf numFmtId="171" fontId="17" fillId="3" borderId="0" xfId="0" applyNumberFormat="1" applyFont="1" applyFill="1" applyAlignment="1">
      <alignment horizontal="right"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4" fontId="8" fillId="3" borderId="0" xfId="0" applyNumberFormat="1" applyFont="1" applyFill="1" applyAlignment="1">
      <alignment horizontal="right" vertical="top" wrapText="1"/>
    </xf>
    <xf numFmtId="172" fontId="17" fillId="3" borderId="0" xfId="0" applyNumberFormat="1" applyFont="1" applyFill="1" applyAlignment="1">
      <alignment horizontal="right" vertical="top" wrapText="1"/>
    </xf>
    <xf numFmtId="4" fontId="8" fillId="3" borderId="0" xfId="0" applyNumberFormat="1" applyFont="1" applyFill="1" applyAlignment="1">
      <alignment vertical="top" wrapText="1"/>
    </xf>
    <xf numFmtId="0" fontId="3" fillId="3" borderId="0" xfId="1" applyFont="1" applyFill="1" applyAlignment="1">
      <alignment vertical="top" wrapText="1"/>
    </xf>
    <xf numFmtId="166" fontId="3" fillId="3" borderId="0" xfId="0" applyNumberFormat="1" applyFont="1" applyFill="1" applyAlignment="1">
      <alignment vertical="top" wrapText="1"/>
    </xf>
    <xf numFmtId="166" fontId="12" fillId="3" borderId="0" xfId="0" applyNumberFormat="1" applyFont="1" applyFill="1"/>
    <xf numFmtId="0" fontId="10" fillId="3" borderId="1" xfId="0" applyFont="1" applyFill="1" applyBorder="1" applyAlignment="1">
      <alignment vertical="top" wrapText="1"/>
    </xf>
    <xf numFmtId="0" fontId="13" fillId="3" borderId="1" xfId="0" applyFont="1" applyFill="1" applyBorder="1"/>
    <xf numFmtId="3" fontId="10" fillId="3" borderId="3" xfId="0" applyNumberFormat="1" applyFont="1" applyFill="1" applyBorder="1" applyAlignment="1">
      <alignment vertical="top" wrapText="1"/>
    </xf>
    <xf numFmtId="4" fontId="10" fillId="3" borderId="0" xfId="0" applyNumberFormat="1" applyFont="1" applyFill="1" applyAlignment="1">
      <alignment wrapText="1"/>
    </xf>
    <xf numFmtId="4" fontId="13" fillId="3" borderId="0" xfId="0" applyNumberFormat="1" applyFont="1" applyFill="1"/>
    <xf numFmtId="4" fontId="10" fillId="3" borderId="2" xfId="0" applyNumberFormat="1" applyFont="1" applyFill="1" applyBorder="1" applyAlignment="1">
      <alignment horizontal="right" wrapText="1"/>
    </xf>
    <xf numFmtId="4" fontId="10" fillId="3" borderId="2" xfId="0" applyNumberFormat="1" applyFont="1" applyFill="1" applyBorder="1" applyAlignment="1">
      <alignment wrapText="1"/>
    </xf>
    <xf numFmtId="167" fontId="10" fillId="3" borderId="0" xfId="0" applyNumberFormat="1" applyFont="1" applyFill="1" applyAlignment="1">
      <alignment vertical="top" wrapText="1"/>
    </xf>
    <xf numFmtId="167" fontId="13" fillId="3" borderId="0" xfId="0" applyNumberFormat="1" applyFont="1" applyFill="1"/>
    <xf numFmtId="167" fontId="10" fillId="3" borderId="2" xfId="0" applyNumberFormat="1" applyFont="1" applyFill="1" applyBorder="1" applyAlignment="1">
      <alignment vertical="top" wrapText="1"/>
    </xf>
    <xf numFmtId="0" fontId="10" fillId="3" borderId="0" xfId="0" applyFont="1" applyFill="1" applyAlignment="1">
      <alignment vertical="top"/>
    </xf>
    <xf numFmtId="0" fontId="13" fillId="3" borderId="0" xfId="0" applyFont="1" applyFill="1"/>
    <xf numFmtId="3" fontId="10" fillId="3" borderId="2" xfId="0" applyNumberFormat="1" applyFont="1" applyFill="1" applyBorder="1" applyAlignment="1">
      <alignment vertical="top"/>
    </xf>
    <xf numFmtId="0" fontId="12" fillId="3" borderId="0" xfId="0" applyFont="1" applyFill="1" applyAlignment="1">
      <alignment horizontal="center" vertical="top" wrapText="1"/>
    </xf>
    <xf numFmtId="4" fontId="11" fillId="3" borderId="2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0" fontId="0" fillId="3" borderId="2" xfId="0" applyFill="1" applyBorder="1"/>
    <xf numFmtId="3" fontId="3" fillId="3" borderId="0" xfId="0" applyNumberFormat="1" applyFont="1" applyFill="1" applyAlignment="1">
      <alignment vertical="top" wrapText="1"/>
    </xf>
    <xf numFmtId="168" fontId="4" fillId="2" borderId="0" xfId="0" applyNumberFormat="1" applyFont="1" applyFill="1"/>
    <xf numFmtId="4" fontId="11" fillId="3" borderId="0" xfId="0" applyNumberFormat="1" applyFont="1" applyFill="1" applyAlignment="1">
      <alignment horizontal="center" vertical="top" wrapText="1"/>
    </xf>
    <xf numFmtId="4" fontId="15" fillId="3" borderId="0" xfId="0" applyNumberFormat="1" applyFont="1" applyFill="1" applyAlignment="1">
      <alignment vertical="top" wrapText="1"/>
    </xf>
    <xf numFmtId="168" fontId="4" fillId="3" borderId="0" xfId="0" applyNumberFormat="1" applyFont="1" applyFill="1"/>
    <xf numFmtId="0" fontId="18" fillId="3" borderId="0" xfId="0" applyFont="1" applyFill="1"/>
    <xf numFmtId="169" fontId="6" fillId="3" borderId="0" xfId="0" applyNumberFormat="1" applyFont="1" applyFill="1" applyAlignment="1">
      <alignment horizontal="right" vertical="top" wrapText="1"/>
    </xf>
    <xf numFmtId="3" fontId="7" fillId="3" borderId="0" xfId="0" applyNumberFormat="1" applyFont="1" applyFill="1" applyAlignment="1">
      <alignment vertical="top" wrapText="1"/>
    </xf>
    <xf numFmtId="3" fontId="18" fillId="3" borderId="0" xfId="0" applyNumberFormat="1" applyFont="1" applyFill="1"/>
    <xf numFmtId="4" fontId="6" fillId="3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172" fontId="6" fillId="3" borderId="0" xfId="0" applyNumberFormat="1" applyFont="1" applyFill="1" applyAlignment="1">
      <alignment horizontal="right" vertical="top" wrapText="1"/>
    </xf>
    <xf numFmtId="171" fontId="6" fillId="3" borderId="0" xfId="0" applyNumberFormat="1" applyFont="1" applyFill="1" applyAlignment="1">
      <alignment horizontal="right" vertical="top" wrapText="1"/>
    </xf>
    <xf numFmtId="3" fontId="7" fillId="3" borderId="0" xfId="0" applyNumberFormat="1" applyFont="1" applyFill="1" applyAlignment="1">
      <alignment horizontal="right" vertical="top" wrapText="1"/>
    </xf>
    <xf numFmtId="166" fontId="7" fillId="3" borderId="0" xfId="0" applyNumberFormat="1" applyFont="1" applyFill="1"/>
    <xf numFmtId="0" fontId="4" fillId="3" borderId="0" xfId="0" applyFont="1" applyFill="1"/>
    <xf numFmtId="3" fontId="4" fillId="3" borderId="0" xfId="0" applyNumberFormat="1" applyFont="1" applyFill="1" applyAlignment="1">
      <alignment vertical="top" wrapText="1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right" wrapText="1"/>
    </xf>
    <xf numFmtId="4" fontId="4" fillId="3" borderId="0" xfId="0" applyNumberFormat="1" applyFont="1" applyFill="1" applyAlignment="1">
      <alignment wrapText="1"/>
    </xf>
    <xf numFmtId="167" fontId="4" fillId="3" borderId="0" xfId="0" applyNumberFormat="1" applyFont="1" applyFill="1"/>
    <xf numFmtId="167" fontId="4" fillId="3" borderId="0" xfId="0" applyNumberFormat="1" applyFont="1" applyFill="1" applyAlignment="1">
      <alignment vertical="top" wrapText="1"/>
    </xf>
    <xf numFmtId="3" fontId="4" fillId="3" borderId="0" xfId="0" applyNumberFormat="1" applyFont="1" applyFill="1" applyAlignment="1">
      <alignment vertical="top"/>
    </xf>
    <xf numFmtId="0" fontId="3" fillId="3" borderId="0" xfId="1" applyFont="1" applyFill="1"/>
    <xf numFmtId="0" fontId="7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0" fontId="3" fillId="3" borderId="2" xfId="0" applyFont="1" applyFill="1" applyBorder="1"/>
    <xf numFmtId="0" fontId="6" fillId="3" borderId="0" xfId="0" applyFont="1" applyFill="1"/>
    <xf numFmtId="4" fontId="8" fillId="3" borderId="0" xfId="0" applyNumberFormat="1" applyFont="1" applyFill="1"/>
    <xf numFmtId="4" fontId="6" fillId="3" borderId="0" xfId="0" applyNumberFormat="1" applyFont="1" applyFill="1"/>
    <xf numFmtId="173" fontId="17" fillId="3" borderId="0" xfId="0" applyNumberFormat="1" applyFont="1" applyFill="1" applyAlignment="1">
      <alignment vertical="top" wrapText="1"/>
    </xf>
    <xf numFmtId="0" fontId="19" fillId="3" borderId="0" xfId="1" applyFont="1" applyFill="1" applyAlignment="1">
      <alignment horizontal="left"/>
    </xf>
    <xf numFmtId="3" fontId="3" fillId="3" borderId="2" xfId="0" applyNumberFormat="1" applyFont="1" applyFill="1" applyBorder="1" applyAlignment="1">
      <alignment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16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31.28515625" style="26" hidden="1" customWidth="1"/>
    <col min="2" max="2" width="34.85546875" style="26" customWidth="1"/>
    <col min="3" max="3" width="37.140625" style="26" hidden="1" customWidth="1"/>
    <col min="4" max="4" width="11.5703125" style="208" customWidth="1"/>
    <col min="5" max="5" width="12.42578125" style="26" customWidth="1"/>
    <col min="6" max="6" width="10.7109375" style="208" customWidth="1"/>
    <col min="7" max="7" width="11.42578125" style="26" customWidth="1"/>
    <col min="8" max="8" width="11.42578125" style="208" customWidth="1"/>
    <col min="9" max="9" width="12.7109375" style="26" customWidth="1"/>
    <col min="10" max="10" width="11.42578125" style="208" customWidth="1"/>
    <col min="11" max="11" width="13.28515625" style="26" customWidth="1"/>
    <col min="12" max="12" width="9.140625" style="86" hidden="1" customWidth="1"/>
    <col min="13" max="13" width="9.140625" style="26" hidden="1" customWidth="1"/>
    <col min="14" max="14" width="11.42578125" style="208" customWidth="1"/>
    <col min="15" max="15" width="13" style="26" customWidth="1"/>
    <col min="16" max="16" width="11.42578125" style="31" customWidth="1"/>
    <col min="17" max="17" width="12.42578125" style="26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37" s="13" customFormat="1" ht="22.5" customHeight="1" x14ac:dyDescent="0.2">
      <c r="A1" s="2" t="s">
        <v>37</v>
      </c>
      <c r="B1" s="2" t="s">
        <v>38</v>
      </c>
      <c r="C1" s="2" t="s">
        <v>39</v>
      </c>
      <c r="D1" s="199"/>
      <c r="E1" s="8">
        <v>36160</v>
      </c>
      <c r="F1" s="199"/>
      <c r="G1" s="8">
        <v>36052</v>
      </c>
      <c r="H1" s="199"/>
      <c r="I1" s="8">
        <v>35976</v>
      </c>
      <c r="J1" s="199"/>
      <c r="K1" s="8">
        <v>35884</v>
      </c>
      <c r="L1" s="7"/>
      <c r="M1" s="8">
        <v>36651</v>
      </c>
      <c r="N1" s="199"/>
      <c r="O1" s="8">
        <v>35795</v>
      </c>
      <c r="P1" s="194"/>
      <c r="Q1" s="8"/>
      <c r="R1" s="7"/>
      <c r="S1" s="8"/>
      <c r="T1" s="7"/>
      <c r="U1" s="8"/>
      <c r="V1" s="7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10" t="s">
        <v>3</v>
      </c>
      <c r="AE1" s="11">
        <v>35976</v>
      </c>
      <c r="AF1" s="10" t="s">
        <v>3</v>
      </c>
      <c r="AG1" s="11">
        <v>35884</v>
      </c>
      <c r="AH1" s="12" t="s">
        <v>3</v>
      </c>
      <c r="AI1" s="11">
        <v>35795</v>
      </c>
      <c r="AK1" s="13">
        <v>40.3399</v>
      </c>
    </row>
    <row r="2" spans="1:37" x14ac:dyDescent="0.2">
      <c r="A2" s="1" t="s">
        <v>40</v>
      </c>
      <c r="B2" s="14" t="str">
        <f>A2</f>
        <v>Suez Lyonnaise des Eaux</v>
      </c>
      <c r="C2" s="14" t="str">
        <f>A2</f>
        <v>Suez Lyonnaise des Eaux</v>
      </c>
      <c r="D2" s="200">
        <v>175.01</v>
      </c>
      <c r="E2" s="201">
        <v>2125</v>
      </c>
      <c r="F2" s="200">
        <v>156.87</v>
      </c>
      <c r="G2" s="201">
        <v>1894</v>
      </c>
      <c r="H2" s="200">
        <v>151.69</v>
      </c>
      <c r="I2" s="201">
        <v>1821</v>
      </c>
      <c r="J2" s="200">
        <v>135.53</v>
      </c>
      <c r="K2" s="201">
        <v>1020</v>
      </c>
      <c r="L2" s="29">
        <v>134</v>
      </c>
      <c r="M2" s="30">
        <v>5365</v>
      </c>
      <c r="N2" s="200">
        <v>101.53</v>
      </c>
      <c r="O2" s="201">
        <v>696</v>
      </c>
      <c r="P2" s="29"/>
      <c r="Q2" s="201"/>
    </row>
    <row r="3" spans="1:37" x14ac:dyDescent="0.2">
      <c r="A3" s="14" t="s">
        <v>41</v>
      </c>
      <c r="B3" s="14" t="str">
        <f>A3</f>
        <v>PetroFina</v>
      </c>
      <c r="C3" s="14" t="str">
        <f>A3</f>
        <v>PetroFina</v>
      </c>
      <c r="D3" s="200">
        <v>390.43</v>
      </c>
      <c r="E3" s="30">
        <v>1590</v>
      </c>
      <c r="F3" s="200">
        <v>319.16000000000003</v>
      </c>
      <c r="G3" s="30">
        <v>1292</v>
      </c>
      <c r="H3" s="200">
        <v>378.66</v>
      </c>
      <c r="I3" s="30">
        <v>1523</v>
      </c>
      <c r="J3" s="200">
        <v>345.81</v>
      </c>
      <c r="K3" s="30">
        <v>953</v>
      </c>
      <c r="L3" s="29">
        <v>161.5</v>
      </c>
      <c r="M3" s="30">
        <v>3177</v>
      </c>
      <c r="N3" s="200">
        <v>338.99</v>
      </c>
      <c r="O3" s="30">
        <v>869</v>
      </c>
      <c r="P3" s="29"/>
      <c r="Q3" s="30"/>
    </row>
    <row r="4" spans="1:37" x14ac:dyDescent="0.2">
      <c r="A4" s="14" t="s">
        <v>42</v>
      </c>
      <c r="B4" s="14" t="str">
        <f>A4</f>
        <v>Audiofina</v>
      </c>
      <c r="C4" s="14" t="str">
        <f>A4</f>
        <v>Audiofina</v>
      </c>
      <c r="D4" s="200">
        <v>38.42</v>
      </c>
      <c r="E4" s="33">
        <v>993</v>
      </c>
      <c r="F4" s="200">
        <v>37.130000000000003</v>
      </c>
      <c r="G4" s="33">
        <v>954</v>
      </c>
      <c r="H4" s="200">
        <v>37.68</v>
      </c>
      <c r="I4" s="33">
        <v>963</v>
      </c>
      <c r="J4" s="200">
        <v>37.43</v>
      </c>
      <c r="K4" s="33">
        <v>668</v>
      </c>
      <c r="L4" s="29">
        <v>180</v>
      </c>
      <c r="M4" s="33">
        <v>2433</v>
      </c>
      <c r="N4" s="200">
        <v>37.43</v>
      </c>
      <c r="O4" s="33">
        <v>624</v>
      </c>
      <c r="P4" s="29"/>
      <c r="Q4" s="33"/>
    </row>
    <row r="5" spans="1:37" x14ac:dyDescent="0.2">
      <c r="A5" s="14" t="s">
        <v>43</v>
      </c>
      <c r="B5" s="14" t="str">
        <f>A5</f>
        <v>Imétal</v>
      </c>
      <c r="C5" s="14" t="str">
        <f>A5</f>
        <v>Imétal</v>
      </c>
      <c r="D5" s="200">
        <v>85.37</v>
      </c>
      <c r="E5" s="30">
        <v>357</v>
      </c>
      <c r="F5" s="200">
        <v>85.83</v>
      </c>
      <c r="G5" s="30">
        <v>359</v>
      </c>
      <c r="H5" s="200">
        <v>126.69</v>
      </c>
      <c r="I5" s="30">
        <v>474</v>
      </c>
      <c r="J5" s="200">
        <v>124.7</v>
      </c>
      <c r="K5" s="30">
        <v>413</v>
      </c>
      <c r="L5" s="29">
        <v>130.9</v>
      </c>
      <c r="M5" s="30">
        <v>548</v>
      </c>
      <c r="N5" s="200">
        <v>114.03</v>
      </c>
      <c r="O5" s="30">
        <v>378</v>
      </c>
      <c r="P5" s="29"/>
      <c r="Q5" s="30"/>
    </row>
    <row r="6" spans="1:37" x14ac:dyDescent="0.2">
      <c r="A6" s="14" t="s">
        <v>44</v>
      </c>
      <c r="B6" s="14" t="str">
        <f>A6</f>
        <v>Royale Belge</v>
      </c>
      <c r="C6" s="14" t="str">
        <f>A6</f>
        <v>Royale Belge</v>
      </c>
      <c r="D6" s="200"/>
      <c r="E6" s="196" t="s">
        <v>4</v>
      </c>
      <c r="F6" s="200"/>
      <c r="G6" s="196" t="s">
        <v>4</v>
      </c>
      <c r="H6" s="200"/>
      <c r="I6" s="196" t="s">
        <v>4</v>
      </c>
      <c r="J6" s="200"/>
      <c r="K6" s="47">
        <v>676</v>
      </c>
      <c r="L6" s="29"/>
      <c r="M6" s="47"/>
      <c r="N6" s="200"/>
      <c r="O6" s="47">
        <v>541</v>
      </c>
      <c r="P6" s="29"/>
      <c r="Q6" s="47"/>
    </row>
    <row r="7" spans="1:37" x14ac:dyDescent="0.2">
      <c r="A7" s="14" t="s">
        <v>17</v>
      </c>
      <c r="B7" s="14" t="s">
        <v>18</v>
      </c>
      <c r="C7" s="14" t="s">
        <v>19</v>
      </c>
      <c r="D7" s="200"/>
      <c r="E7" s="30">
        <v>187</v>
      </c>
      <c r="F7" s="200"/>
      <c r="G7" s="30">
        <v>253</v>
      </c>
      <c r="H7" s="200"/>
      <c r="I7" s="30">
        <v>329</v>
      </c>
      <c r="J7" s="200"/>
      <c r="K7" s="30">
        <v>389</v>
      </c>
      <c r="L7" s="48"/>
      <c r="M7" s="30">
        <v>245</v>
      </c>
      <c r="N7" s="200"/>
      <c r="O7" s="30">
        <v>570</v>
      </c>
      <c r="P7" s="29"/>
      <c r="Q7" s="30"/>
    </row>
    <row r="8" spans="1:37" x14ac:dyDescent="0.2">
      <c r="A8" s="50" t="s">
        <v>45</v>
      </c>
      <c r="B8" s="50" t="s">
        <v>46</v>
      </c>
      <c r="C8" s="50" t="s">
        <v>47</v>
      </c>
      <c r="D8" s="200"/>
      <c r="E8" s="53">
        <v>603</v>
      </c>
      <c r="F8" s="200"/>
      <c r="G8" s="53">
        <v>559</v>
      </c>
      <c r="H8" s="200"/>
      <c r="I8" s="53">
        <v>721</v>
      </c>
      <c r="J8" s="200"/>
      <c r="K8" s="53">
        <v>1215</v>
      </c>
      <c r="L8" s="52"/>
      <c r="M8" s="53">
        <v>-322</v>
      </c>
      <c r="N8" s="200"/>
      <c r="O8" s="53">
        <v>921</v>
      </c>
      <c r="P8" s="29"/>
      <c r="Q8" s="53"/>
    </row>
    <row r="9" spans="1:37" s="145" customFormat="1" x14ac:dyDescent="0.2">
      <c r="A9" s="56" t="s">
        <v>48</v>
      </c>
      <c r="B9" s="164" t="s">
        <v>138</v>
      </c>
      <c r="C9" s="164" t="s">
        <v>26</v>
      </c>
      <c r="D9" s="202"/>
      <c r="E9" s="124">
        <f>SUM(E2:E8)</f>
        <v>5855</v>
      </c>
      <c r="F9" s="202"/>
      <c r="G9" s="124">
        <f>SUM(G2:G8)</f>
        <v>5311</v>
      </c>
      <c r="H9" s="203"/>
      <c r="I9" s="124">
        <f>SUM(I2:I8)</f>
        <v>5831</v>
      </c>
      <c r="J9" s="203"/>
      <c r="K9" s="124">
        <f>SUM(K2:K8)</f>
        <v>5334</v>
      </c>
      <c r="L9" s="124"/>
      <c r="M9" s="124"/>
      <c r="N9" s="203"/>
      <c r="O9" s="124">
        <f>SUM(O2:O8)</f>
        <v>4599</v>
      </c>
      <c r="P9" s="142"/>
      <c r="Q9" s="140"/>
      <c r="R9" s="197"/>
      <c r="T9" s="197"/>
      <c r="V9" s="197"/>
      <c r="X9" s="197"/>
      <c r="Z9" s="141"/>
      <c r="AB9" s="141"/>
      <c r="AD9" s="198"/>
    </row>
    <row r="10" spans="1:37" x14ac:dyDescent="0.2">
      <c r="A10" s="66" t="s">
        <v>49</v>
      </c>
      <c r="B10" s="66" t="s">
        <v>139</v>
      </c>
      <c r="C10" s="66" t="s">
        <v>50</v>
      </c>
      <c r="D10" s="204"/>
      <c r="E10" s="22">
        <v>47.93</v>
      </c>
      <c r="F10" s="204"/>
      <c r="G10" s="22">
        <v>43.49</v>
      </c>
      <c r="H10" s="204"/>
      <c r="I10" s="22">
        <v>47.79</v>
      </c>
      <c r="J10" s="204"/>
      <c r="K10" s="22">
        <v>41.38</v>
      </c>
      <c r="L10" s="71"/>
      <c r="M10" s="22">
        <v>476.02</v>
      </c>
      <c r="N10" s="204"/>
      <c r="O10" s="22">
        <v>35.67</v>
      </c>
      <c r="P10" s="146"/>
      <c r="Q10" s="23"/>
    </row>
    <row r="11" spans="1:37" x14ac:dyDescent="0.2">
      <c r="A11" s="66" t="s">
        <v>51</v>
      </c>
      <c r="B11" s="66" t="s">
        <v>52</v>
      </c>
      <c r="C11" s="66" t="s">
        <v>53</v>
      </c>
      <c r="D11" s="204"/>
      <c r="E11" s="72">
        <v>34.71</v>
      </c>
      <c r="F11" s="204"/>
      <c r="G11" s="72">
        <v>32.130000000000003</v>
      </c>
      <c r="H11" s="204"/>
      <c r="I11" s="72">
        <v>37.229999999999997</v>
      </c>
      <c r="J11" s="204"/>
      <c r="K11" s="72">
        <v>32.130000000000003</v>
      </c>
      <c r="L11" s="71"/>
      <c r="M11" s="72">
        <v>267.5</v>
      </c>
      <c r="N11" s="204"/>
      <c r="O11" s="72">
        <v>26.57</v>
      </c>
      <c r="P11" s="146"/>
      <c r="Q11" s="87"/>
    </row>
    <row r="12" spans="1:37" x14ac:dyDescent="0.2">
      <c r="A12" s="74" t="s">
        <v>32</v>
      </c>
      <c r="B12" s="74" t="s">
        <v>33</v>
      </c>
      <c r="C12" s="74" t="s">
        <v>34</v>
      </c>
      <c r="D12" s="205"/>
      <c r="E12" s="78">
        <v>0.27600000000000002</v>
      </c>
      <c r="F12" s="205"/>
      <c r="G12" s="78">
        <v>0.26</v>
      </c>
      <c r="H12" s="205"/>
      <c r="I12" s="78">
        <v>0.221</v>
      </c>
      <c r="J12" s="205"/>
      <c r="K12" s="78">
        <v>0.224</v>
      </c>
      <c r="L12" s="77"/>
      <c r="M12" s="78">
        <v>0.438</v>
      </c>
      <c r="N12" s="205"/>
      <c r="O12" s="78">
        <v>0.255</v>
      </c>
      <c r="P12" s="29"/>
      <c r="Q12" s="173"/>
    </row>
    <row r="13" spans="1:37" x14ac:dyDescent="0.2">
      <c r="A13" s="64" t="s">
        <v>54</v>
      </c>
      <c r="B13" s="64" t="s">
        <v>55</v>
      </c>
      <c r="C13" s="64" t="s">
        <v>56</v>
      </c>
      <c r="D13" s="205"/>
      <c r="E13" s="19">
        <v>122160125</v>
      </c>
      <c r="F13" s="205"/>
      <c r="G13" s="19">
        <v>122160125</v>
      </c>
      <c r="H13" s="205"/>
      <c r="I13" s="19">
        <v>122160125</v>
      </c>
      <c r="J13" s="205"/>
      <c r="K13" s="19">
        <v>128917890</v>
      </c>
      <c r="L13" s="61"/>
      <c r="M13" s="19">
        <v>24432025</v>
      </c>
      <c r="N13" s="205"/>
      <c r="O13" s="19">
        <v>128917890</v>
      </c>
      <c r="P13" s="29"/>
      <c r="Q13" s="33"/>
    </row>
    <row r="15" spans="1:37" ht="38.25" x14ac:dyDescent="0.2">
      <c r="A15" s="181" t="s">
        <v>57</v>
      </c>
      <c r="B15" s="88" t="s">
        <v>69</v>
      </c>
      <c r="C15" s="89" t="s">
        <v>68</v>
      </c>
      <c r="D15" s="206"/>
      <c r="E15" s="92"/>
      <c r="F15" s="206"/>
      <c r="G15" s="92"/>
      <c r="H15" s="206"/>
      <c r="I15" s="92"/>
      <c r="J15" s="206"/>
      <c r="K15" s="93"/>
      <c r="L15" s="88"/>
      <c r="M15" s="92"/>
      <c r="N15" s="206"/>
      <c r="O15" s="92"/>
      <c r="P15" s="88"/>
      <c r="Q15" s="93"/>
      <c r="R15" s="88"/>
      <c r="S15" s="93"/>
      <c r="T15" s="88"/>
      <c r="V15" s="26"/>
      <c r="W15" s="23"/>
      <c r="X15" s="14"/>
      <c r="Y15" s="23"/>
      <c r="Z15" s="47"/>
      <c r="AA15" s="47"/>
      <c r="AB15" s="47"/>
      <c r="AC15" s="47"/>
      <c r="AD15" s="47"/>
      <c r="AE15" s="47"/>
      <c r="AF15" s="47"/>
      <c r="AG15" s="14"/>
    </row>
    <row r="16" spans="1:37" x14ac:dyDescent="0.2">
      <c r="D16" s="207"/>
      <c r="L16" s="31"/>
      <c r="N16" s="207"/>
      <c r="R16" s="31"/>
      <c r="X16" s="49"/>
      <c r="AB16" s="87"/>
      <c r="AD16" s="26"/>
    </row>
  </sheetData>
  <phoneticPr fontId="2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L13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2.42578125" style="26" customWidth="1"/>
    <col min="3" max="3" width="20.710937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11.42578125" style="85" customWidth="1"/>
    <col min="13" max="13" width="13" style="45" customWidth="1"/>
    <col min="14" max="14" width="11.42578125" style="85" customWidth="1"/>
    <col min="15" max="15" width="12.42578125" style="45" customWidth="1"/>
    <col min="16" max="16" width="11.42578125" style="86" customWidth="1"/>
    <col min="17" max="17" width="12.28515625" style="26" customWidth="1"/>
    <col min="18" max="18" width="11.42578125" style="86" customWidth="1"/>
    <col min="19" max="19" width="11.42578125" style="26" customWidth="1"/>
    <col min="20" max="20" width="9.140625" style="86" hidden="1" customWidth="1"/>
    <col min="21" max="21" width="9.140625" style="26" hidden="1" customWidth="1"/>
    <col min="22" max="22" width="9.140625" style="86" hidden="1" customWidth="1"/>
    <col min="23" max="23" width="9.140625" style="26" hidden="1" customWidth="1"/>
    <col min="24" max="24" width="11.5703125" style="49" hidden="1" customWidth="1"/>
    <col min="25" max="25" width="9.140625" style="26" hidden="1" customWidth="1"/>
    <col min="26" max="26" width="9.140625" style="49" hidden="1" customWidth="1"/>
    <col min="27" max="27" width="9.140625" style="26" hidden="1" customWidth="1"/>
    <col min="28" max="28" width="11.5703125" style="87" hidden="1" customWidth="1"/>
    <col min="29" max="31" width="9.140625" style="26" hidden="1" customWidth="1"/>
    <col min="32" max="35" width="11.42578125" style="26" hidden="1" customWidth="1"/>
    <col min="36" max="36" width="11.42578125" style="26" customWidth="1"/>
    <col min="37" max="38" width="9.140625" style="26" hidden="1" customWidth="1"/>
    <col min="39" max="16384" width="11.42578125" style="26"/>
  </cols>
  <sheetData>
    <row r="1" spans="1:38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39447</v>
      </c>
      <c r="F1" s="3"/>
      <c r="G1" s="137">
        <v>39391</v>
      </c>
      <c r="H1" s="3"/>
      <c r="I1" s="137">
        <v>39293</v>
      </c>
      <c r="J1" s="3"/>
      <c r="K1" s="137">
        <v>39204</v>
      </c>
      <c r="L1" s="3"/>
      <c r="M1" s="137">
        <v>39146</v>
      </c>
      <c r="N1" s="3"/>
      <c r="O1" s="137">
        <v>39082</v>
      </c>
      <c r="P1" s="2"/>
      <c r="Q1" s="2"/>
      <c r="R1" s="7"/>
      <c r="S1" s="8"/>
      <c r="T1" s="7"/>
      <c r="U1" s="8">
        <v>36420</v>
      </c>
      <c r="V1" s="7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10" t="s">
        <v>3</v>
      </c>
      <c r="AE1" s="11">
        <v>35976</v>
      </c>
      <c r="AF1" s="10" t="s">
        <v>3</v>
      </c>
      <c r="AG1" s="11">
        <v>35884</v>
      </c>
      <c r="AH1" s="12" t="s">
        <v>3</v>
      </c>
      <c r="AI1" s="11">
        <v>35795</v>
      </c>
      <c r="AK1" s="13">
        <v>40.3399</v>
      </c>
      <c r="AL1" s="13">
        <v>6.5595699999999999</v>
      </c>
    </row>
    <row r="2" spans="1:38" x14ac:dyDescent="0.2">
      <c r="A2" s="14" t="s">
        <v>88</v>
      </c>
      <c r="B2" s="14" t="str">
        <f>A2</f>
        <v>Iberdrola</v>
      </c>
      <c r="C2" s="14" t="str">
        <f>A2</f>
        <v>Iberdrola</v>
      </c>
      <c r="D2" s="15">
        <v>10.4</v>
      </c>
      <c r="E2" s="16">
        <v>724</v>
      </c>
      <c r="F2" s="15">
        <v>11.36</v>
      </c>
      <c r="G2" s="16">
        <v>1704</v>
      </c>
      <c r="H2" s="15">
        <v>40.229999999999997</v>
      </c>
      <c r="I2" s="16">
        <v>1509</v>
      </c>
      <c r="J2" s="15" t="s">
        <v>4</v>
      </c>
      <c r="K2" s="16">
        <v>0</v>
      </c>
      <c r="L2" s="15" t="s">
        <v>4</v>
      </c>
      <c r="M2" s="16"/>
      <c r="N2" s="15" t="s">
        <v>4</v>
      </c>
      <c r="O2" s="16">
        <v>0</v>
      </c>
      <c r="P2" s="20"/>
      <c r="Q2" s="21"/>
      <c r="R2" s="20"/>
      <c r="S2" s="21"/>
      <c r="T2" s="20"/>
      <c r="U2" s="21"/>
      <c r="V2" s="20"/>
      <c r="W2" s="21"/>
      <c r="X2" s="21"/>
      <c r="Y2" s="21"/>
      <c r="Z2" s="21"/>
      <c r="AA2" s="21"/>
      <c r="AB2" s="22"/>
      <c r="AC2" s="21"/>
      <c r="AD2" s="23"/>
      <c r="AE2" s="24"/>
      <c r="AF2" s="23"/>
      <c r="AG2" s="24"/>
      <c r="AH2" s="25"/>
      <c r="AI2" s="24"/>
    </row>
    <row r="3" spans="1:38" x14ac:dyDescent="0.2">
      <c r="A3" s="14" t="s">
        <v>82</v>
      </c>
      <c r="B3" s="14" t="s">
        <v>82</v>
      </c>
      <c r="C3" s="14" t="s">
        <v>82</v>
      </c>
      <c r="D3" s="15">
        <v>79.05</v>
      </c>
      <c r="E3" s="27">
        <v>1070</v>
      </c>
      <c r="F3" s="15">
        <v>155.09</v>
      </c>
      <c r="G3" s="27">
        <v>1049</v>
      </c>
      <c r="H3" s="15">
        <v>153.13</v>
      </c>
      <c r="I3" s="27">
        <v>1036</v>
      </c>
      <c r="J3" s="15">
        <v>158</v>
      </c>
      <c r="K3" s="27">
        <v>960</v>
      </c>
      <c r="L3" s="15">
        <v>154.1</v>
      </c>
      <c r="M3" s="27">
        <v>852</v>
      </c>
      <c r="N3" s="15">
        <v>145</v>
      </c>
      <c r="O3" s="27">
        <v>446</v>
      </c>
      <c r="P3" s="29"/>
      <c r="Q3" s="30"/>
      <c r="R3" s="29"/>
      <c r="S3" s="30"/>
      <c r="T3" s="29">
        <v>48.35</v>
      </c>
      <c r="U3" s="30">
        <v>1302</v>
      </c>
      <c r="V3" s="29">
        <v>46.55</v>
      </c>
      <c r="W3" s="30">
        <v>1242</v>
      </c>
      <c r="X3" s="31">
        <v>37.450000000000003</v>
      </c>
      <c r="Y3" s="30">
        <v>991</v>
      </c>
      <c r="Z3" s="32">
        <f>1550/AK1</f>
        <v>38.423496339852107</v>
      </c>
      <c r="AA3" s="33">
        <f>40072/AK1</f>
        <v>993.35893247132492</v>
      </c>
      <c r="AB3" s="32">
        <f>1498/AK1</f>
        <v>37.134450011031262</v>
      </c>
      <c r="AC3" s="33">
        <f>38499/AK1</f>
        <v>954.36528102449438</v>
      </c>
      <c r="AD3" s="32">
        <f>1520/AK1</f>
        <v>37.679815765532389</v>
      </c>
      <c r="AE3" s="33">
        <f>38837/AK1</f>
        <v>962.74408216182985</v>
      </c>
      <c r="AF3" s="32">
        <f>1510/AK1</f>
        <v>37.43192224075915</v>
      </c>
      <c r="AG3" s="33">
        <f>26966/AK1</f>
        <v>668.46967890351732</v>
      </c>
      <c r="AH3" s="29">
        <f>1510/AK1</f>
        <v>37.43192224075915</v>
      </c>
      <c r="AI3" s="33">
        <f>25184/AK1</f>
        <v>624.29505278892611</v>
      </c>
      <c r="AJ3" s="1" t="s">
        <v>6</v>
      </c>
    </row>
    <row r="4" spans="1:38" x14ac:dyDescent="0.2">
      <c r="A4" s="14" t="s">
        <v>79</v>
      </c>
      <c r="B4" s="14" t="str">
        <f>A4</f>
        <v>Total</v>
      </c>
      <c r="C4" s="14" t="str">
        <f>A4</f>
        <v>Total</v>
      </c>
      <c r="D4" s="43">
        <v>56.83</v>
      </c>
      <c r="E4" s="16">
        <v>5339</v>
      </c>
      <c r="F4" s="43">
        <v>54.37</v>
      </c>
      <c r="G4" s="16">
        <v>5108</v>
      </c>
      <c r="H4" s="43">
        <v>57.2</v>
      </c>
      <c r="I4" s="16">
        <v>5373</v>
      </c>
      <c r="J4" s="43">
        <v>55</v>
      </c>
      <c r="K4" s="16">
        <v>5167</v>
      </c>
      <c r="L4" s="43">
        <v>49.29</v>
      </c>
      <c r="M4" s="16">
        <v>4630</v>
      </c>
      <c r="N4" s="43">
        <v>54.65</v>
      </c>
      <c r="O4" s="16">
        <v>5134</v>
      </c>
      <c r="P4" s="29"/>
      <c r="Q4" s="30"/>
      <c r="R4" s="29"/>
      <c r="S4" s="30"/>
      <c r="T4" s="29">
        <v>120.9</v>
      </c>
      <c r="U4" s="30">
        <v>2351</v>
      </c>
      <c r="V4" s="29">
        <v>125.1</v>
      </c>
      <c r="W4" s="30">
        <v>2399</v>
      </c>
      <c r="X4" s="44">
        <f>460.3/4.5</f>
        <v>102.28888888888889</v>
      </c>
      <c r="Y4" s="30">
        <v>1921</v>
      </c>
      <c r="Z4" s="32">
        <v>86.76</v>
      </c>
      <c r="AA4" s="33">
        <v>1590</v>
      </c>
      <c r="AB4" s="32" t="e">
        <f>12875/(#REF!*4.5)</f>
        <v>#REF!</v>
      </c>
      <c r="AC4" s="33" t="e">
        <f>52109/#REF!</f>
        <v>#REF!</v>
      </c>
      <c r="AD4" s="32" t="e">
        <f>15275/(#REF!*4.5)</f>
        <v>#REF!</v>
      </c>
      <c r="AE4" s="33" t="e">
        <f>61445/#REF!</f>
        <v>#REF!</v>
      </c>
      <c r="AF4" s="32" t="e">
        <f>13950/#REF!</f>
        <v>#REF!</v>
      </c>
      <c r="AG4" s="33" t="e">
        <f>38455/#REF!</f>
        <v>#REF!</v>
      </c>
      <c r="AH4" s="29" t="e">
        <f>13675/#REF!</f>
        <v>#REF!</v>
      </c>
      <c r="AI4" s="33" t="e">
        <f>35072/#REF!</f>
        <v>#REF!</v>
      </c>
      <c r="AJ4" s="14" t="s">
        <v>6</v>
      </c>
    </row>
    <row r="5" spans="1:38" x14ac:dyDescent="0.2">
      <c r="A5" s="14" t="s">
        <v>83</v>
      </c>
      <c r="B5" s="14" t="str">
        <f>A5</f>
        <v>Suez</v>
      </c>
      <c r="C5" s="14" t="str">
        <f>A5</f>
        <v>Suez</v>
      </c>
      <c r="D5" s="43">
        <v>46.57</v>
      </c>
      <c r="E5" s="16">
        <v>5682</v>
      </c>
      <c r="F5" s="43">
        <v>45.9</v>
      </c>
      <c r="G5" s="16">
        <v>5600</v>
      </c>
      <c r="H5" s="43">
        <v>38.11</v>
      </c>
      <c r="I5" s="16">
        <v>4650</v>
      </c>
      <c r="J5" s="43">
        <v>42.82</v>
      </c>
      <c r="K5" s="16">
        <v>5225</v>
      </c>
      <c r="L5" s="43">
        <v>35.58</v>
      </c>
      <c r="M5" s="16">
        <v>4341</v>
      </c>
      <c r="N5" s="43">
        <v>39.229999999999997</v>
      </c>
      <c r="O5" s="16">
        <v>3990</v>
      </c>
      <c r="P5" s="29"/>
      <c r="Q5" s="33"/>
      <c r="R5" s="29"/>
      <c r="S5" s="33"/>
      <c r="T5" s="29">
        <v>159.9</v>
      </c>
      <c r="U5" s="33">
        <v>2134</v>
      </c>
      <c r="V5" s="29">
        <v>174.9</v>
      </c>
      <c r="W5" s="33">
        <v>2278</v>
      </c>
      <c r="X5" s="32">
        <v>173.2</v>
      </c>
      <c r="Y5" s="33">
        <v>2197</v>
      </c>
      <c r="Z5" s="32">
        <f>1148/AL1</f>
        <v>175.01147178854711</v>
      </c>
      <c r="AA5" s="33">
        <f>85728/AK1</f>
        <v>2125.1416091760266</v>
      </c>
      <c r="AB5" s="32">
        <f>1029/AL1</f>
        <v>156.87003873729529</v>
      </c>
      <c r="AC5" s="33">
        <f>76396/AK1</f>
        <v>1893.8073718576397</v>
      </c>
      <c r="AD5" s="32">
        <f>995/AL1</f>
        <v>151.68677215122332</v>
      </c>
      <c r="AE5" s="33">
        <f>73440/AK1</f>
        <v>1820.5300459346702</v>
      </c>
      <c r="AF5" s="32">
        <f>889/AL1</f>
        <v>135.52717632405782</v>
      </c>
      <c r="AG5" s="33">
        <f>41140/AK1</f>
        <v>1019.8339609171069</v>
      </c>
      <c r="AH5" s="29">
        <f>666/AL1</f>
        <v>101.53104548011531</v>
      </c>
      <c r="AI5" s="33">
        <f>28071/AK1</f>
        <v>695.86191339096035</v>
      </c>
      <c r="AJ5" s="14" t="s">
        <v>6</v>
      </c>
    </row>
    <row r="6" spans="1:38" x14ac:dyDescent="0.2">
      <c r="A6" s="14" t="s">
        <v>84</v>
      </c>
      <c r="B6" s="14" t="str">
        <f>A6</f>
        <v xml:space="preserve">Imerys </v>
      </c>
      <c r="C6" s="14" t="str">
        <f>A6</f>
        <v xml:space="preserve">Imerys </v>
      </c>
      <c r="D6" s="43">
        <v>56.24</v>
      </c>
      <c r="E6" s="16">
        <v>950</v>
      </c>
      <c r="F6" s="43">
        <v>64.63</v>
      </c>
      <c r="G6" s="16">
        <v>1082</v>
      </c>
      <c r="H6" s="43">
        <v>71.819999999999993</v>
      </c>
      <c r="I6" s="16">
        <v>1203</v>
      </c>
      <c r="J6" s="43">
        <v>72</v>
      </c>
      <c r="K6" s="16">
        <v>1206</v>
      </c>
      <c r="L6" s="43">
        <v>68.23</v>
      </c>
      <c r="M6" s="16">
        <v>1143</v>
      </c>
      <c r="N6" s="43">
        <v>67.400000000000006</v>
      </c>
      <c r="O6" s="16">
        <v>1129</v>
      </c>
      <c r="P6" s="29"/>
      <c r="Q6" s="30"/>
      <c r="R6" s="29"/>
      <c r="S6" s="30"/>
      <c r="T6" s="29">
        <v>149.1</v>
      </c>
      <c r="U6" s="30">
        <v>624</v>
      </c>
      <c r="V6" s="29">
        <v>144</v>
      </c>
      <c r="W6" s="30">
        <v>603</v>
      </c>
      <c r="X6" s="31">
        <v>99.6</v>
      </c>
      <c r="Y6" s="30">
        <v>417</v>
      </c>
      <c r="Z6" s="32">
        <f>560/AL1</f>
        <v>85.371449652949821</v>
      </c>
      <c r="AA6" s="33">
        <f>14416/AK1</f>
        <v>357.36330531310193</v>
      </c>
      <c r="AB6" s="32">
        <f>563/AL1</f>
        <v>85.828796704662039</v>
      </c>
      <c r="AC6" s="33">
        <f>14484/AK1</f>
        <v>359.04898128155992</v>
      </c>
      <c r="AD6" s="32">
        <f>831/AL1</f>
        <v>126.68513332428803</v>
      </c>
      <c r="AE6" s="33">
        <f>19136/AK1</f>
        <v>474.3690490060709</v>
      </c>
      <c r="AF6" s="32">
        <f>818/AL1</f>
        <v>124.7032961002017</v>
      </c>
      <c r="AG6" s="33">
        <f>16662/AK1</f>
        <v>413.04019097717151</v>
      </c>
      <c r="AH6" s="29">
        <f>748/AL1</f>
        <v>114.03186489358296</v>
      </c>
      <c r="AI6" s="33">
        <f>15243/AK1</f>
        <v>377.8640998118488</v>
      </c>
      <c r="AJ6" s="14" t="s">
        <v>6</v>
      </c>
    </row>
    <row r="7" spans="1:38" x14ac:dyDescent="0.2">
      <c r="A7" s="1" t="s">
        <v>81</v>
      </c>
      <c r="B7" s="14" t="str">
        <f>A7</f>
        <v>Lafarge</v>
      </c>
      <c r="C7" s="14" t="str">
        <f>A7</f>
        <v>Lafarge</v>
      </c>
      <c r="D7" s="43">
        <v>124.5</v>
      </c>
      <c r="E7" s="132">
        <v>3856</v>
      </c>
      <c r="F7" s="43">
        <v>108.28</v>
      </c>
      <c r="G7" s="132">
        <v>3291</v>
      </c>
      <c r="H7" s="43">
        <v>121.76</v>
      </c>
      <c r="I7" s="132">
        <v>3741</v>
      </c>
      <c r="J7" s="43">
        <v>121.51</v>
      </c>
      <c r="K7" s="132">
        <v>3691</v>
      </c>
      <c r="L7" s="43">
        <v>109.52</v>
      </c>
      <c r="M7" s="132">
        <v>3114</v>
      </c>
      <c r="N7" s="43">
        <v>112.7</v>
      </c>
      <c r="O7" s="132">
        <v>3170</v>
      </c>
      <c r="P7" s="29"/>
      <c r="Q7" s="47"/>
      <c r="R7" s="29"/>
      <c r="S7" s="47"/>
      <c r="T7" s="47"/>
      <c r="U7" s="47" t="s">
        <v>16</v>
      </c>
      <c r="V7" s="48"/>
      <c r="W7" s="47" t="s">
        <v>16</v>
      </c>
      <c r="Y7" s="47" t="s">
        <v>16</v>
      </c>
      <c r="Z7" s="23"/>
      <c r="AA7" s="47" t="s">
        <v>16</v>
      </c>
      <c r="AB7" s="23"/>
      <c r="AC7" s="47"/>
      <c r="AD7" s="23"/>
      <c r="AE7" s="47"/>
      <c r="AF7" s="23"/>
      <c r="AG7" s="33"/>
      <c r="AH7" s="25"/>
      <c r="AI7" s="33"/>
      <c r="AJ7" s="14"/>
    </row>
    <row r="8" spans="1:38" x14ac:dyDescent="0.2">
      <c r="A8" s="14" t="s">
        <v>17</v>
      </c>
      <c r="B8" s="14" t="s">
        <v>18</v>
      </c>
      <c r="C8" s="14" t="s">
        <v>19</v>
      </c>
      <c r="D8" s="43"/>
      <c r="E8" s="16">
        <v>322</v>
      </c>
      <c r="F8" s="43"/>
      <c r="G8" s="16">
        <v>325</v>
      </c>
      <c r="H8" s="43"/>
      <c r="I8" s="16">
        <v>344</v>
      </c>
      <c r="J8" s="43"/>
      <c r="K8" s="16">
        <v>354</v>
      </c>
      <c r="L8" s="43"/>
      <c r="M8" s="16">
        <v>294</v>
      </c>
      <c r="N8" s="43"/>
      <c r="O8" s="16">
        <v>258</v>
      </c>
      <c r="P8" s="48"/>
      <c r="Q8" s="30"/>
      <c r="R8" s="48"/>
      <c r="S8" s="30"/>
      <c r="T8" s="48"/>
      <c r="U8" s="30">
        <v>266</v>
      </c>
      <c r="V8" s="48"/>
      <c r="W8" s="30">
        <v>257</v>
      </c>
      <c r="Y8" s="30">
        <f>25+190</f>
        <v>215</v>
      </c>
      <c r="Z8" s="23" t="s">
        <v>3</v>
      </c>
      <c r="AA8" s="33">
        <f>7517/AK1+1</f>
        <v>187.34156257204407</v>
      </c>
      <c r="AB8" s="23" t="s">
        <v>3</v>
      </c>
      <c r="AC8" s="33">
        <f>10221/AK1</f>
        <v>253.37197167072799</v>
      </c>
      <c r="AD8" s="23" t="s">
        <v>6</v>
      </c>
      <c r="AE8" s="33">
        <f>13264/AK1</f>
        <v>328.80597125922475</v>
      </c>
      <c r="AF8" s="23" t="s">
        <v>6</v>
      </c>
      <c r="AG8" s="33">
        <f>15670/AK1+1</f>
        <v>389.44915331966615</v>
      </c>
      <c r="AH8" s="25" t="s">
        <v>6</v>
      </c>
      <c r="AI8" s="33">
        <f>22978/AK1</f>
        <v>569.60974122394953</v>
      </c>
      <c r="AJ8" s="14" t="s">
        <v>6</v>
      </c>
    </row>
    <row r="9" spans="1:38" s="53" customFormat="1" ht="25.5" x14ac:dyDescent="0.2">
      <c r="A9" s="50" t="s">
        <v>85</v>
      </c>
      <c r="B9" s="50" t="s">
        <v>86</v>
      </c>
      <c r="C9" s="50" t="s">
        <v>87</v>
      </c>
      <c r="D9" s="43"/>
      <c r="E9" s="16">
        <v>1803</v>
      </c>
      <c r="F9" s="43"/>
      <c r="G9" s="16">
        <v>844</v>
      </c>
      <c r="H9" s="43"/>
      <c r="I9" s="16">
        <v>786</v>
      </c>
      <c r="J9" s="43"/>
      <c r="K9" s="16">
        <v>820</v>
      </c>
      <c r="L9" s="43"/>
      <c r="M9" s="16">
        <v>1391</v>
      </c>
      <c r="N9" s="43"/>
      <c r="O9" s="16">
        <v>2636</v>
      </c>
      <c r="P9" s="52"/>
      <c r="R9" s="52"/>
      <c r="T9" s="52"/>
      <c r="U9" s="53">
        <v>392</v>
      </c>
      <c r="V9" s="52"/>
      <c r="W9" s="53">
        <v>414</v>
      </c>
      <c r="X9" s="54"/>
      <c r="Y9" s="53">
        <v>527</v>
      </c>
      <c r="Z9" s="55" t="s">
        <v>3</v>
      </c>
      <c r="AA9" s="55">
        <f>24308/AK1</f>
        <v>602.57958001879035</v>
      </c>
      <c r="AB9" s="55" t="s">
        <v>3</v>
      </c>
      <c r="AC9" s="55">
        <f>22554/AK1</f>
        <v>559.09905577356415</v>
      </c>
      <c r="AD9" s="55" t="s">
        <v>6</v>
      </c>
      <c r="AE9" s="55">
        <f>29104/AK1</f>
        <v>721.46931450003592</v>
      </c>
      <c r="AF9" s="55" t="s">
        <v>6</v>
      </c>
      <c r="AG9" s="55">
        <f>48989/AK1+1</f>
        <v>1215.4055885116225</v>
      </c>
      <c r="AH9" s="50" t="s">
        <v>6</v>
      </c>
      <c r="AI9" s="55">
        <f>37124/AK1+1</f>
        <v>921.27992136817397</v>
      </c>
      <c r="AJ9" s="50" t="s">
        <v>6</v>
      </c>
    </row>
    <row r="10" spans="1:38" s="129" customFormat="1" x14ac:dyDescent="0.2">
      <c r="A10" s="56" t="s">
        <v>25</v>
      </c>
      <c r="B10" s="56" t="s">
        <v>135</v>
      </c>
      <c r="C10" s="56" t="s">
        <v>26</v>
      </c>
      <c r="D10" s="133"/>
      <c r="E10" s="58">
        <f>SUM(E2:E9)</f>
        <v>19746</v>
      </c>
      <c r="F10" s="133"/>
      <c r="G10" s="58">
        <f>SUM(G2:G9)</f>
        <v>19003</v>
      </c>
      <c r="H10" s="133"/>
      <c r="I10" s="58">
        <f>SUM(I2:I9)</f>
        <v>18642</v>
      </c>
      <c r="J10" s="133"/>
      <c r="K10" s="58">
        <f>SUM(K2:K9)</f>
        <v>17423</v>
      </c>
      <c r="L10" s="133"/>
      <c r="M10" s="58">
        <f>SUM(M2:M9)</f>
        <v>15765</v>
      </c>
      <c r="N10" s="133"/>
      <c r="O10" s="58">
        <f>SUM(O2:O9)</f>
        <v>16763</v>
      </c>
      <c r="P10" s="125"/>
      <c r="Q10" s="124"/>
      <c r="R10" s="125"/>
      <c r="S10" s="124"/>
      <c r="T10" s="125"/>
      <c r="U10" s="124" t="e">
        <f>SUM(U3:U5:#REF!)-#REF!-#REF!</f>
        <v>#REF!</v>
      </c>
      <c r="V10" s="125"/>
      <c r="W10" s="124" t="e">
        <f>SUM(W3:W5:#REF!)-#REF!-#REF!</f>
        <v>#REF!</v>
      </c>
      <c r="X10" s="126"/>
      <c r="Y10" s="124" t="e">
        <f>SUM(Y3:Y5:#REF!)-#REF!-#REF!</f>
        <v>#REF!</v>
      </c>
      <c r="Z10" s="127" t="s">
        <v>3</v>
      </c>
      <c r="AA10" s="124" t="e">
        <f>SUM(AA3:AA5:#REF!)-#REF!-#REF!-1</f>
        <v>#REF!</v>
      </c>
      <c r="AB10" s="127" t="s">
        <v>3</v>
      </c>
      <c r="AC10" s="124">
        <f>SUM(AC5:AC9)</f>
        <v>3065.3273805834915</v>
      </c>
      <c r="AD10" s="127" t="s">
        <v>6</v>
      </c>
      <c r="AE10" s="124">
        <f>SUM(AE5:AE9)</f>
        <v>3345.1743807000021</v>
      </c>
      <c r="AF10" s="127" t="s">
        <v>6</v>
      </c>
      <c r="AG10" s="124">
        <f>SUM(AG5:AG9)-2</f>
        <v>3035.7288937255671</v>
      </c>
      <c r="AH10" s="128" t="s">
        <v>6</v>
      </c>
      <c r="AI10" s="124">
        <f>SUM(AI5:AI9)-1</f>
        <v>2563.6156757949329</v>
      </c>
      <c r="AJ10" s="56" t="s">
        <v>6</v>
      </c>
      <c r="AK10" s="129">
        <f>236182/AK1</f>
        <v>5854.7988467993227</v>
      </c>
      <c r="AL10" s="129">
        <f>214263/AK1</f>
        <v>5311.4410298488592</v>
      </c>
    </row>
    <row r="11" spans="1:38" s="72" customFormat="1" ht="25.5" x14ac:dyDescent="0.2">
      <c r="A11" s="66" t="s">
        <v>27</v>
      </c>
      <c r="B11" s="66" t="s">
        <v>137</v>
      </c>
      <c r="C11" s="66" t="s">
        <v>28</v>
      </c>
      <c r="D11" s="134"/>
      <c r="E11" s="68">
        <v>122.37</v>
      </c>
      <c r="F11" s="134"/>
      <c r="G11" s="68">
        <v>117.77</v>
      </c>
      <c r="H11" s="134"/>
      <c r="I11" s="68">
        <v>115.53</v>
      </c>
      <c r="J11" s="134"/>
      <c r="K11" s="68">
        <v>118.39</v>
      </c>
      <c r="L11" s="134"/>
      <c r="M11" s="68">
        <v>107.12</v>
      </c>
      <c r="N11" s="134"/>
      <c r="O11" s="68">
        <v>113.91</v>
      </c>
      <c r="P11" s="71"/>
      <c r="Q11" s="22"/>
      <c r="R11" s="71"/>
      <c r="S11" s="22"/>
      <c r="T11" s="71"/>
      <c r="U11" s="22">
        <v>289.33</v>
      </c>
      <c r="V11" s="71"/>
      <c r="W11" s="22">
        <v>256.52999999999997</v>
      </c>
      <c r="X11" s="62"/>
      <c r="Y11" s="22">
        <v>256.52999999999997</v>
      </c>
      <c r="Z11" s="22" t="s">
        <v>3</v>
      </c>
      <c r="AA11" s="22">
        <v>239.64</v>
      </c>
      <c r="AB11" s="22" t="s">
        <v>3</v>
      </c>
      <c r="AC11" s="22">
        <v>217.47</v>
      </c>
      <c r="AD11" s="22"/>
      <c r="AE11" s="22">
        <v>238.97</v>
      </c>
      <c r="AF11" s="22" t="s">
        <v>6</v>
      </c>
      <c r="AG11" s="22">
        <v>206.87</v>
      </c>
      <c r="AH11" s="63" t="s">
        <v>6</v>
      </c>
      <c r="AI11" s="22">
        <v>178.36</v>
      </c>
      <c r="AJ11" s="63" t="s">
        <v>6</v>
      </c>
    </row>
    <row r="12" spans="1:38" s="72" customFormat="1" x14ac:dyDescent="0.2">
      <c r="A12" s="66" t="s">
        <v>29</v>
      </c>
      <c r="B12" s="66" t="s">
        <v>30</v>
      </c>
      <c r="C12" s="66" t="s">
        <v>31</v>
      </c>
      <c r="D12" s="134"/>
      <c r="E12" s="73">
        <v>87.87</v>
      </c>
      <c r="F12" s="134"/>
      <c r="G12" s="73">
        <v>85.89</v>
      </c>
      <c r="H12" s="134"/>
      <c r="I12" s="73">
        <v>87.65</v>
      </c>
      <c r="J12" s="134"/>
      <c r="K12" s="73">
        <v>90.85</v>
      </c>
      <c r="L12" s="134"/>
      <c r="M12" s="73">
        <v>82.47</v>
      </c>
      <c r="N12" s="134"/>
      <c r="O12" s="73">
        <v>91.05</v>
      </c>
      <c r="P12" s="71"/>
      <c r="R12" s="71"/>
      <c r="T12" s="71"/>
      <c r="U12" s="72">
        <v>186.9</v>
      </c>
      <c r="V12" s="71"/>
      <c r="W12" s="72">
        <v>163.9</v>
      </c>
      <c r="X12" s="62"/>
      <c r="Y12" s="72">
        <v>167.5</v>
      </c>
      <c r="Z12" s="69" t="s">
        <v>3</v>
      </c>
      <c r="AA12" s="69">
        <v>173.53</v>
      </c>
      <c r="AB12" s="69" t="s">
        <v>3</v>
      </c>
      <c r="AC12" s="69">
        <v>160.63999999999999</v>
      </c>
      <c r="AD12" s="22" t="s">
        <v>6</v>
      </c>
      <c r="AE12" s="22">
        <v>186.17</v>
      </c>
      <c r="AF12" s="22" t="s">
        <v>6</v>
      </c>
      <c r="AG12" s="22">
        <v>160.63999999999999</v>
      </c>
      <c r="AH12" s="63" t="s">
        <v>6</v>
      </c>
      <c r="AI12" s="22">
        <v>132.87</v>
      </c>
      <c r="AJ12" s="66" t="s">
        <v>6</v>
      </c>
    </row>
    <row r="13" spans="1:38" s="65" customFormat="1" x14ac:dyDescent="0.2">
      <c r="A13" s="64" t="s">
        <v>74</v>
      </c>
      <c r="B13" s="64" t="s">
        <v>78</v>
      </c>
      <c r="C13" s="64" t="s">
        <v>77</v>
      </c>
      <c r="D13" s="136"/>
      <c r="E13" s="135">
        <v>161358287</v>
      </c>
      <c r="F13" s="136"/>
      <c r="G13" s="135">
        <v>161358287</v>
      </c>
      <c r="H13" s="136"/>
      <c r="I13" s="135">
        <v>161358287</v>
      </c>
      <c r="J13" s="136"/>
      <c r="K13" s="135">
        <v>147167666</v>
      </c>
      <c r="L13" s="136"/>
      <c r="M13" s="135">
        <v>147167666</v>
      </c>
      <c r="N13" s="136"/>
      <c r="O13" s="135">
        <v>147167666</v>
      </c>
      <c r="P13" s="61"/>
      <c r="Q13" s="19"/>
      <c r="R13" s="61"/>
      <c r="S13" s="19"/>
      <c r="T13" s="61"/>
      <c r="U13" s="19">
        <v>24432025</v>
      </c>
      <c r="V13" s="61"/>
      <c r="W13" s="19">
        <v>24432025</v>
      </c>
      <c r="X13" s="62"/>
      <c r="Y13" s="19">
        <v>24432025</v>
      </c>
      <c r="Z13" s="22" t="s">
        <v>3</v>
      </c>
      <c r="AA13" s="19">
        <v>24432025</v>
      </c>
      <c r="AB13" s="22" t="s">
        <v>3</v>
      </c>
      <c r="AC13" s="19">
        <v>24458667</v>
      </c>
      <c r="AD13" s="22" t="s">
        <v>6</v>
      </c>
      <c r="AE13" s="19">
        <v>24402157</v>
      </c>
      <c r="AF13" s="22" t="s">
        <v>6</v>
      </c>
      <c r="AG13" s="19">
        <v>25783578</v>
      </c>
      <c r="AH13" s="63" t="s">
        <v>6</v>
      </c>
      <c r="AI13" s="19">
        <v>25783578</v>
      </c>
      <c r="AJ13" s="64" t="s">
        <v>6</v>
      </c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O21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7.5703125" style="26" hidden="1" customWidth="1"/>
    <col min="2" max="2" width="24.7109375" style="26" customWidth="1"/>
    <col min="3" max="3" width="25" style="26" hidden="1" customWidth="1"/>
    <col min="4" max="4" width="6.140625" style="46" bestFit="1" customWidth="1"/>
    <col min="5" max="5" width="11.140625" style="45" bestFit="1" customWidth="1"/>
    <col min="6" max="6" width="6.140625" style="46" bestFit="1" customWidth="1"/>
    <col min="7" max="7" width="11.140625" style="45" bestFit="1" customWidth="1"/>
    <col min="8" max="8" width="6.140625" style="46" bestFit="1" customWidth="1"/>
    <col min="9" max="9" width="11.140625" style="45" bestFit="1" customWidth="1"/>
    <col min="10" max="10" width="7.140625" style="46" bestFit="1" customWidth="1"/>
    <col min="11" max="11" width="11.140625" style="45" bestFit="1" customWidth="1"/>
    <col min="12" max="12" width="7.140625" style="46" bestFit="1" customWidth="1"/>
    <col min="13" max="13" width="11.140625" style="45" bestFit="1" customWidth="1"/>
    <col min="14" max="14" width="7.140625" style="46" bestFit="1" customWidth="1"/>
    <col min="15" max="15" width="11.140625" style="45" bestFit="1" customWidth="1"/>
    <col min="16" max="16384" width="11.42578125" style="26"/>
  </cols>
  <sheetData>
    <row r="1" spans="1:15" s="13" customFormat="1" x14ac:dyDescent="0.2">
      <c r="A1" s="2" t="s">
        <v>0</v>
      </c>
      <c r="B1" s="2" t="s">
        <v>1</v>
      </c>
      <c r="C1" s="2" t="s">
        <v>2</v>
      </c>
      <c r="D1" s="3"/>
      <c r="E1" s="4">
        <v>39813</v>
      </c>
      <c r="F1" s="3"/>
      <c r="G1" s="4">
        <v>39757</v>
      </c>
      <c r="H1" s="3"/>
      <c r="I1" s="4">
        <v>39654</v>
      </c>
      <c r="J1" s="130"/>
      <c r="K1" s="4">
        <v>39573</v>
      </c>
      <c r="L1" s="131"/>
      <c r="M1" s="4">
        <v>39510</v>
      </c>
      <c r="N1" s="131"/>
      <c r="O1" s="4">
        <v>39447</v>
      </c>
    </row>
    <row r="2" spans="1:15" x14ac:dyDescent="0.2">
      <c r="A2" s="14" t="s">
        <v>88</v>
      </c>
      <c r="B2" s="14" t="str">
        <f>A2</f>
        <v>Iberdrola</v>
      </c>
      <c r="C2" s="14" t="str">
        <f>A2</f>
        <v>Iberdrola</v>
      </c>
      <c r="D2" s="15">
        <v>6.4</v>
      </c>
      <c r="E2" s="16">
        <v>185</v>
      </c>
      <c r="F2" s="15">
        <v>6.25</v>
      </c>
      <c r="G2" s="16">
        <v>180</v>
      </c>
      <c r="H2" s="15">
        <v>7.98</v>
      </c>
      <c r="I2" s="16">
        <v>231</v>
      </c>
      <c r="J2" s="15">
        <v>9.4700000000000006</v>
      </c>
      <c r="K2" s="16">
        <v>273.95</v>
      </c>
      <c r="L2" s="15">
        <v>9.34</v>
      </c>
      <c r="M2" s="16">
        <v>270</v>
      </c>
      <c r="N2" s="15">
        <v>10.4</v>
      </c>
      <c r="O2" s="16">
        <v>724</v>
      </c>
    </row>
    <row r="3" spans="1:15" x14ac:dyDescent="0.2">
      <c r="A3" s="14" t="s">
        <v>82</v>
      </c>
      <c r="B3" s="14" t="s">
        <v>82</v>
      </c>
      <c r="C3" s="14" t="s">
        <v>82</v>
      </c>
      <c r="D3" s="15">
        <v>52.97</v>
      </c>
      <c r="E3" s="27">
        <v>955</v>
      </c>
      <c r="F3" s="15">
        <v>52.54</v>
      </c>
      <c r="G3" s="27">
        <v>935</v>
      </c>
      <c r="H3" s="15">
        <v>59.36</v>
      </c>
      <c r="I3" s="27">
        <v>919</v>
      </c>
      <c r="J3" s="15">
        <v>73.760000000000005</v>
      </c>
      <c r="K3" s="27">
        <v>1026.08</v>
      </c>
      <c r="L3" s="15">
        <v>69.58</v>
      </c>
      <c r="M3" s="27">
        <v>941</v>
      </c>
      <c r="N3" s="15">
        <v>158.1</v>
      </c>
      <c r="O3" s="27">
        <v>1070</v>
      </c>
    </row>
    <row r="4" spans="1:15" x14ac:dyDescent="0.2">
      <c r="A4" s="14" t="s">
        <v>89</v>
      </c>
      <c r="B4" s="14" t="s">
        <v>89</v>
      </c>
      <c r="C4" s="14" t="s">
        <v>89</v>
      </c>
      <c r="D4" s="15">
        <v>35.33</v>
      </c>
      <c r="E4" s="34">
        <v>4140</v>
      </c>
      <c r="F4" s="15">
        <v>36.22</v>
      </c>
      <c r="G4" s="34">
        <v>4243</v>
      </c>
      <c r="H4" s="15">
        <v>41.8</v>
      </c>
      <c r="I4" s="34">
        <v>4898</v>
      </c>
      <c r="J4" s="15"/>
      <c r="K4" s="132"/>
      <c r="L4" s="15"/>
      <c r="M4" s="132"/>
      <c r="N4" s="15"/>
      <c r="O4" s="132"/>
    </row>
    <row r="5" spans="1:15" x14ac:dyDescent="0.2">
      <c r="A5" s="14" t="s">
        <v>90</v>
      </c>
      <c r="B5" s="14" t="s">
        <v>90</v>
      </c>
      <c r="C5" s="14" t="s">
        <v>90</v>
      </c>
      <c r="D5" s="15">
        <v>12.05</v>
      </c>
      <c r="E5" s="34">
        <v>422</v>
      </c>
      <c r="F5" s="15">
        <v>14.6</v>
      </c>
      <c r="G5" s="34">
        <v>511</v>
      </c>
      <c r="H5" s="15">
        <v>16.350000000000001</v>
      </c>
      <c r="I5" s="34">
        <v>507</v>
      </c>
      <c r="J5" s="15"/>
      <c r="K5" s="132"/>
      <c r="L5" s="15"/>
      <c r="M5" s="132"/>
      <c r="N5" s="15"/>
      <c r="O5" s="132"/>
    </row>
    <row r="6" spans="1:15" x14ac:dyDescent="0.2">
      <c r="A6" s="14" t="s">
        <v>79</v>
      </c>
      <c r="B6" s="14" t="str">
        <f>A6</f>
        <v>Total</v>
      </c>
      <c r="C6" s="14" t="str">
        <f>A6</f>
        <v>Total</v>
      </c>
      <c r="D6" s="43">
        <v>38.909999999999997</v>
      </c>
      <c r="E6" s="16">
        <v>3655</v>
      </c>
      <c r="F6" s="43">
        <v>42.75</v>
      </c>
      <c r="G6" s="16">
        <v>4016</v>
      </c>
      <c r="H6" s="43">
        <v>48.38</v>
      </c>
      <c r="I6" s="16">
        <v>4544</v>
      </c>
      <c r="J6" s="43">
        <v>54.47</v>
      </c>
      <c r="K6" s="16">
        <v>5116.9399999999996</v>
      </c>
      <c r="L6" s="43">
        <v>49.6</v>
      </c>
      <c r="M6" s="16">
        <v>4659</v>
      </c>
      <c r="N6" s="43">
        <v>56.83</v>
      </c>
      <c r="O6" s="16">
        <v>5339</v>
      </c>
    </row>
    <row r="7" spans="1:15" x14ac:dyDescent="0.2">
      <c r="A7" s="14" t="s">
        <v>83</v>
      </c>
      <c r="B7" s="14" t="str">
        <f>A7</f>
        <v>Suez</v>
      </c>
      <c r="C7" s="14" t="str">
        <f>A7</f>
        <v>Suez</v>
      </c>
      <c r="D7" s="43"/>
      <c r="E7" s="16"/>
      <c r="F7" s="43"/>
      <c r="G7" s="16"/>
      <c r="H7" s="43"/>
      <c r="I7" s="16"/>
      <c r="J7" s="43">
        <v>44.62</v>
      </c>
      <c r="K7" s="16">
        <v>5477.72</v>
      </c>
      <c r="L7" s="43">
        <v>40.880000000000003</v>
      </c>
      <c r="M7" s="16">
        <v>5019</v>
      </c>
      <c r="N7" s="43">
        <v>46.57</v>
      </c>
      <c r="O7" s="16">
        <v>5682</v>
      </c>
    </row>
    <row r="8" spans="1:15" x14ac:dyDescent="0.2">
      <c r="A8" s="14" t="s">
        <v>84</v>
      </c>
      <c r="B8" s="14" t="str">
        <f>A8</f>
        <v xml:space="preserve">Imerys </v>
      </c>
      <c r="C8" s="14" t="str">
        <f>A8</f>
        <v xml:space="preserve">Imerys </v>
      </c>
      <c r="D8" s="43">
        <v>32.5</v>
      </c>
      <c r="E8" s="16">
        <v>623</v>
      </c>
      <c r="F8" s="43">
        <v>34.799999999999997</v>
      </c>
      <c r="G8" s="16">
        <v>667</v>
      </c>
      <c r="H8" s="43">
        <v>40.35</v>
      </c>
      <c r="I8" s="16">
        <v>735</v>
      </c>
      <c r="J8" s="43">
        <v>56.06</v>
      </c>
      <c r="K8" s="16">
        <v>976.52</v>
      </c>
      <c r="L8" s="43">
        <v>54.45</v>
      </c>
      <c r="M8" s="16">
        <v>927</v>
      </c>
      <c r="N8" s="43">
        <v>56.24</v>
      </c>
      <c r="O8" s="16">
        <v>950</v>
      </c>
    </row>
    <row r="9" spans="1:15" x14ac:dyDescent="0.2">
      <c r="A9" s="1" t="s">
        <v>81</v>
      </c>
      <c r="B9" s="14" t="str">
        <f>A9</f>
        <v>Lafarge</v>
      </c>
      <c r="C9" s="14" t="str">
        <f>A9</f>
        <v>Lafarge</v>
      </c>
      <c r="D9" s="43">
        <v>43.35</v>
      </c>
      <c r="E9" s="34">
        <v>1789</v>
      </c>
      <c r="F9" s="43">
        <v>54.06</v>
      </c>
      <c r="G9" s="34">
        <v>2230</v>
      </c>
      <c r="H9" s="43">
        <v>88.28</v>
      </c>
      <c r="I9" s="34">
        <v>3335</v>
      </c>
      <c r="J9" s="43">
        <v>115</v>
      </c>
      <c r="K9" s="132">
        <v>4192.49</v>
      </c>
      <c r="L9" s="43">
        <v>113.28</v>
      </c>
      <c r="M9" s="132">
        <v>3931</v>
      </c>
      <c r="N9" s="43">
        <v>124.5</v>
      </c>
      <c r="O9" s="132">
        <v>3856</v>
      </c>
    </row>
    <row r="10" spans="1:15" x14ac:dyDescent="0.2">
      <c r="A10" s="14" t="s">
        <v>17</v>
      </c>
      <c r="B10" s="14" t="s">
        <v>18</v>
      </c>
      <c r="C10" s="14" t="s">
        <v>19</v>
      </c>
      <c r="D10" s="15"/>
      <c r="E10" s="16">
        <v>196</v>
      </c>
      <c r="F10" s="15"/>
      <c r="G10" s="16">
        <v>270</v>
      </c>
      <c r="H10" s="15"/>
      <c r="I10" s="16">
        <v>293.70999999999998</v>
      </c>
      <c r="J10" s="43"/>
      <c r="K10" s="16">
        <v>323.93</v>
      </c>
      <c r="L10" s="43"/>
      <c r="M10" s="16">
        <v>303</v>
      </c>
      <c r="N10" s="43"/>
      <c r="O10" s="16">
        <v>322</v>
      </c>
    </row>
    <row r="11" spans="1:15" ht="25.5" x14ac:dyDescent="0.2">
      <c r="A11" s="50" t="s">
        <v>91</v>
      </c>
      <c r="B11" s="50" t="s">
        <v>86</v>
      </c>
      <c r="C11" s="50" t="s">
        <v>87</v>
      </c>
      <c r="D11" s="51"/>
      <c r="E11" s="16">
        <v>846</v>
      </c>
      <c r="F11" s="51"/>
      <c r="G11" s="16">
        <v>698</v>
      </c>
      <c r="H11" s="51"/>
      <c r="I11" s="16">
        <v>1354</v>
      </c>
      <c r="J11" s="43"/>
      <c r="K11" s="16">
        <v>1177.98</v>
      </c>
      <c r="L11" s="43"/>
      <c r="M11" s="16">
        <v>1749</v>
      </c>
      <c r="N11" s="43"/>
      <c r="O11" s="16">
        <v>1803</v>
      </c>
    </row>
    <row r="12" spans="1:15" s="129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v>12811</v>
      </c>
      <c r="F12" s="57"/>
      <c r="G12" s="58">
        <v>13754</v>
      </c>
      <c r="H12" s="57"/>
      <c r="I12" s="58">
        <v>16817</v>
      </c>
      <c r="J12" s="133"/>
      <c r="K12" s="58">
        <v>18565.62</v>
      </c>
      <c r="L12" s="133"/>
      <c r="M12" s="58">
        <v>17800</v>
      </c>
      <c r="N12" s="133"/>
      <c r="O12" s="58">
        <v>19746</v>
      </c>
    </row>
    <row r="13" spans="1:15" s="65" customFormat="1" ht="25.5" x14ac:dyDescent="0.2">
      <c r="A13" s="66" t="s">
        <v>27</v>
      </c>
      <c r="B13" s="66" t="s">
        <v>137</v>
      </c>
      <c r="C13" s="66" t="s">
        <v>28</v>
      </c>
      <c r="D13" s="67"/>
      <c r="E13" s="68">
        <v>79.39</v>
      </c>
      <c r="F13" s="67"/>
      <c r="G13" s="68">
        <v>85.24</v>
      </c>
      <c r="H13" s="67"/>
      <c r="I13" s="68">
        <v>104.22</v>
      </c>
      <c r="J13" s="134"/>
      <c r="K13" s="68">
        <v>115.06</v>
      </c>
      <c r="L13" s="134"/>
      <c r="M13" s="68">
        <v>110.31</v>
      </c>
      <c r="N13" s="134"/>
      <c r="O13" s="68">
        <v>122.37</v>
      </c>
    </row>
    <row r="14" spans="1:15" s="65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56.86</v>
      </c>
      <c r="F14" s="67"/>
      <c r="G14" s="73">
        <v>60.63</v>
      </c>
      <c r="H14" s="67"/>
      <c r="I14" s="73">
        <v>71.39</v>
      </c>
      <c r="J14" s="134"/>
      <c r="K14" s="73">
        <v>81.16</v>
      </c>
      <c r="L14" s="134"/>
      <c r="M14" s="73">
        <v>78.53</v>
      </c>
      <c r="N14" s="134"/>
      <c r="O14" s="73">
        <v>87.87</v>
      </c>
    </row>
    <row r="15" spans="1:15" s="65" customFormat="1" x14ac:dyDescent="0.2">
      <c r="A15" s="64" t="s">
        <v>74</v>
      </c>
      <c r="B15" s="64" t="s">
        <v>78</v>
      </c>
      <c r="C15" s="64" t="s">
        <v>77</v>
      </c>
      <c r="D15" s="82"/>
      <c r="E15" s="135">
        <v>161358287</v>
      </c>
      <c r="F15" s="82"/>
      <c r="G15" s="135">
        <v>161358287</v>
      </c>
      <c r="H15" s="82"/>
      <c r="I15" s="135">
        <v>161358287</v>
      </c>
      <c r="J15" s="136"/>
      <c r="K15" s="135">
        <v>161358287</v>
      </c>
      <c r="L15" s="136"/>
      <c r="M15" s="135">
        <v>161358287</v>
      </c>
      <c r="N15" s="136"/>
      <c r="O15" s="135">
        <v>161358287</v>
      </c>
    </row>
    <row r="16" spans="1:15" x14ac:dyDescent="0.2">
      <c r="D16" s="85"/>
      <c r="F16" s="85"/>
      <c r="H16" s="85"/>
      <c r="J16" s="85"/>
      <c r="L16" s="85"/>
      <c r="N16" s="85"/>
    </row>
    <row r="17" spans="2:15" x14ac:dyDescent="0.2">
      <c r="B17" s="88"/>
      <c r="C17" s="89"/>
      <c r="D17" s="90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</row>
    <row r="18" spans="2:15" x14ac:dyDescent="0.2">
      <c r="D18" s="94"/>
      <c r="F18" s="94"/>
      <c r="H18" s="94"/>
      <c r="J18" s="94"/>
      <c r="L18" s="94"/>
      <c r="N18" s="94"/>
    </row>
    <row r="19" spans="2:15" x14ac:dyDescent="0.2">
      <c r="D19" s="94"/>
      <c r="F19" s="94"/>
      <c r="H19" s="94"/>
      <c r="J19" s="94"/>
      <c r="L19" s="94"/>
      <c r="N19" s="94"/>
    </row>
    <row r="20" spans="2:15" x14ac:dyDescent="0.2">
      <c r="D20" s="94"/>
      <c r="F20" s="94"/>
      <c r="H20" s="94"/>
      <c r="J20" s="94"/>
      <c r="L20" s="94"/>
      <c r="N20" s="94"/>
    </row>
    <row r="21" spans="2:15" x14ac:dyDescent="0.2">
      <c r="D21" s="94"/>
      <c r="F21" s="94"/>
      <c r="H21" s="94"/>
      <c r="J21" s="94"/>
      <c r="L21" s="94"/>
      <c r="N21" s="94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FP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1.5703125" style="85" customWidth="1"/>
    <col min="5" max="5" width="12.42578125" style="45" customWidth="1"/>
    <col min="6" max="6" width="11.5703125" style="85" customWidth="1"/>
    <col min="7" max="7" width="12.42578125" style="45" customWidth="1"/>
    <col min="8" max="8" width="11.5703125" style="85" customWidth="1"/>
    <col min="9" max="9" width="12.42578125" style="45" customWidth="1"/>
    <col min="10" max="10" width="11.5703125" style="85" customWidth="1"/>
    <col min="11" max="11" width="12.42578125" style="45" customWidth="1"/>
    <col min="12" max="12" width="11.5703125" style="85" customWidth="1"/>
    <col min="13" max="13" width="12.42578125" style="45" customWidth="1"/>
    <col min="14" max="14" width="11.5703125" style="85" customWidth="1"/>
    <col min="15" max="15" width="12.42578125" style="45" customWidth="1"/>
    <col min="16" max="16" width="12.42578125" style="26" customWidth="1"/>
    <col min="17" max="17" width="11.42578125" style="86" customWidth="1"/>
    <col min="18" max="18" width="11.42578125" style="26" customWidth="1"/>
    <col min="19" max="19" width="9.140625" style="86" hidden="1" customWidth="1"/>
    <col min="20" max="20" width="9.140625" style="26" hidden="1" customWidth="1"/>
    <col min="21" max="21" width="9.140625" style="86" hidden="1" customWidth="1"/>
    <col min="22" max="22" width="9.140625" style="26" hidden="1" customWidth="1"/>
    <col min="23" max="23" width="11.5703125" style="49" hidden="1" customWidth="1"/>
    <col min="24" max="24" width="9.140625" style="26" hidden="1" customWidth="1"/>
    <col min="25" max="25" width="9.140625" style="49" hidden="1" customWidth="1"/>
    <col min="26" max="26" width="9.140625" style="26" hidden="1" customWidth="1"/>
    <col min="27" max="27" width="11.5703125" style="87" hidden="1" customWidth="1"/>
    <col min="28" max="30" width="9.140625" style="26" hidden="1" customWidth="1"/>
    <col min="31" max="34" width="11.42578125" style="26" hidden="1" customWidth="1"/>
    <col min="35" max="35" width="11.42578125" style="26" customWidth="1"/>
    <col min="36" max="37" width="9.140625" style="26" hidden="1" customWidth="1"/>
    <col min="38" max="16384" width="11.42578125" style="26"/>
  </cols>
  <sheetData>
    <row r="1" spans="1:172" s="13" customFormat="1" x14ac:dyDescent="0.2">
      <c r="A1" s="2" t="s">
        <v>0</v>
      </c>
      <c r="B1" s="2" t="s">
        <v>1</v>
      </c>
      <c r="C1" s="2" t="s">
        <v>2</v>
      </c>
      <c r="D1" s="3"/>
      <c r="E1" s="4">
        <v>40178</v>
      </c>
      <c r="F1" s="3"/>
      <c r="G1" s="4">
        <v>40116</v>
      </c>
      <c r="H1" s="3"/>
      <c r="I1" s="4">
        <v>40018</v>
      </c>
      <c r="J1" s="3"/>
      <c r="K1" s="4">
        <v>39939</v>
      </c>
      <c r="L1" s="3"/>
      <c r="M1" s="4">
        <v>39874</v>
      </c>
      <c r="N1" s="3"/>
      <c r="O1" s="4">
        <v>39813</v>
      </c>
      <c r="P1" s="5"/>
      <c r="Q1" s="6"/>
      <c r="R1" s="5"/>
      <c r="S1" s="7"/>
      <c r="T1" s="8">
        <v>36420</v>
      </c>
      <c r="U1" s="7"/>
      <c r="V1" s="8">
        <v>36341</v>
      </c>
      <c r="W1" s="8"/>
      <c r="X1" s="8">
        <v>36231</v>
      </c>
      <c r="Y1" s="8"/>
      <c r="Z1" s="8">
        <v>36160</v>
      </c>
      <c r="AA1" s="9"/>
      <c r="AB1" s="8">
        <v>36052</v>
      </c>
      <c r="AC1" s="10" t="s">
        <v>3</v>
      </c>
      <c r="AD1" s="11">
        <v>35976</v>
      </c>
      <c r="AE1" s="10" t="s">
        <v>3</v>
      </c>
      <c r="AF1" s="11">
        <v>35884</v>
      </c>
      <c r="AG1" s="12" t="s">
        <v>3</v>
      </c>
      <c r="AH1" s="11">
        <v>35795</v>
      </c>
      <c r="AJ1" s="13">
        <v>40.3399</v>
      </c>
      <c r="AK1" s="13">
        <v>6.5595699999999999</v>
      </c>
    </row>
    <row r="2" spans="1:172" x14ac:dyDescent="0.2">
      <c r="A2" s="14" t="s">
        <v>88</v>
      </c>
      <c r="B2" s="14" t="str">
        <f>A2</f>
        <v>Iberdrola</v>
      </c>
      <c r="C2" s="14" t="str">
        <f t="shared" ref="C2:C8" si="0">A2</f>
        <v>Iberdrola</v>
      </c>
      <c r="D2" s="15">
        <v>6.67</v>
      </c>
      <c r="E2" s="16">
        <v>209.63</v>
      </c>
      <c r="F2" s="15">
        <v>6.18</v>
      </c>
      <c r="G2" s="16">
        <v>194</v>
      </c>
      <c r="H2" s="15">
        <v>5.78</v>
      </c>
      <c r="I2" s="16">
        <v>182</v>
      </c>
      <c r="J2" s="15">
        <v>6.09</v>
      </c>
      <c r="K2" s="16">
        <v>176</v>
      </c>
      <c r="L2" s="15">
        <v>4.8</v>
      </c>
      <c r="M2" s="16">
        <v>139</v>
      </c>
      <c r="N2" s="15">
        <v>6.4</v>
      </c>
      <c r="O2" s="16">
        <v>185</v>
      </c>
      <c r="P2" s="17"/>
      <c r="Q2" s="18"/>
      <c r="R2" s="19"/>
      <c r="S2" s="20"/>
      <c r="T2" s="21"/>
      <c r="U2" s="20"/>
      <c r="V2" s="21"/>
      <c r="W2" s="21"/>
      <c r="X2" s="21"/>
      <c r="Y2" s="21"/>
      <c r="Z2" s="21"/>
      <c r="AA2" s="22"/>
      <c r="AB2" s="21"/>
      <c r="AC2" s="23"/>
      <c r="AD2" s="24"/>
      <c r="AE2" s="23"/>
      <c r="AF2" s="24"/>
      <c r="AG2" s="25"/>
      <c r="AH2" s="24"/>
    </row>
    <row r="3" spans="1:172" x14ac:dyDescent="0.2">
      <c r="A3" s="14" t="s">
        <v>82</v>
      </c>
      <c r="B3" s="14" t="str">
        <f>A3</f>
        <v>Pernod Ricard</v>
      </c>
      <c r="C3" s="14" t="str">
        <f t="shared" si="0"/>
        <v>Pernod Ricard</v>
      </c>
      <c r="D3" s="15">
        <v>59.91</v>
      </c>
      <c r="E3" s="27">
        <v>1444.39</v>
      </c>
      <c r="F3" s="15">
        <v>56.79</v>
      </c>
      <c r="G3" s="27">
        <v>1304</v>
      </c>
      <c r="H3" s="15">
        <v>52.34</v>
      </c>
      <c r="I3" s="27">
        <v>1198</v>
      </c>
      <c r="J3" s="15">
        <v>45.49</v>
      </c>
      <c r="K3" s="27">
        <v>966</v>
      </c>
      <c r="L3" s="15">
        <v>41.87</v>
      </c>
      <c r="M3" s="27">
        <v>756</v>
      </c>
      <c r="N3" s="15">
        <v>52.97</v>
      </c>
      <c r="O3" s="27">
        <v>955</v>
      </c>
      <c r="P3" s="28"/>
      <c r="Q3" s="29"/>
      <c r="R3" s="30"/>
      <c r="S3" s="29">
        <v>48.35</v>
      </c>
      <c r="T3" s="30">
        <v>1302</v>
      </c>
      <c r="U3" s="29">
        <v>46.55</v>
      </c>
      <c r="V3" s="30">
        <v>1242</v>
      </c>
      <c r="W3" s="31">
        <v>37.450000000000003</v>
      </c>
      <c r="X3" s="30">
        <v>991</v>
      </c>
      <c r="Y3" s="32">
        <f>1550/AJ1</f>
        <v>38.423496339852107</v>
      </c>
      <c r="Z3" s="33">
        <f>40072/AJ1</f>
        <v>993.35893247132492</v>
      </c>
      <c r="AA3" s="32">
        <f>1498/AJ1</f>
        <v>37.134450011031262</v>
      </c>
      <c r="AB3" s="33">
        <f>38499/AJ1</f>
        <v>954.36528102449438</v>
      </c>
      <c r="AC3" s="32">
        <f>1520/AJ1</f>
        <v>37.679815765532389</v>
      </c>
      <c r="AD3" s="33">
        <f>38837/AJ1</f>
        <v>962.74408216182985</v>
      </c>
      <c r="AE3" s="32">
        <f>1510/AJ1</f>
        <v>37.43192224075915</v>
      </c>
      <c r="AF3" s="33">
        <f>26966/AJ1</f>
        <v>668.46967890351732</v>
      </c>
      <c r="AG3" s="29">
        <f>1510/AJ1</f>
        <v>37.43192224075915</v>
      </c>
      <c r="AH3" s="33">
        <f>25184/AJ1</f>
        <v>624.29505278892611</v>
      </c>
      <c r="AI3" s="1" t="s">
        <v>6</v>
      </c>
    </row>
    <row r="4" spans="1:172" s="42" customFormat="1" x14ac:dyDescent="0.2">
      <c r="A4" s="14" t="s">
        <v>89</v>
      </c>
      <c r="B4" s="14" t="s">
        <v>89</v>
      </c>
      <c r="C4" s="14" t="str">
        <f t="shared" si="0"/>
        <v>GDF SUEZ</v>
      </c>
      <c r="D4" s="15">
        <v>30.29</v>
      </c>
      <c r="E4" s="34">
        <v>3548.91</v>
      </c>
      <c r="F4" s="15">
        <v>28.51</v>
      </c>
      <c r="G4" s="34">
        <v>3340</v>
      </c>
      <c r="H4" s="15">
        <v>26.3</v>
      </c>
      <c r="I4" s="34">
        <v>3082</v>
      </c>
      <c r="J4" s="15">
        <v>27.53</v>
      </c>
      <c r="K4" s="34">
        <v>3109</v>
      </c>
      <c r="L4" s="15">
        <v>23.25</v>
      </c>
      <c r="M4" s="34">
        <v>2725</v>
      </c>
      <c r="N4" s="15">
        <v>35.33</v>
      </c>
      <c r="O4" s="34">
        <v>4140</v>
      </c>
      <c r="P4" s="35"/>
      <c r="Q4" s="36"/>
      <c r="R4" s="37"/>
      <c r="S4" s="38"/>
      <c r="T4" s="39"/>
      <c r="U4" s="38"/>
      <c r="V4" s="39"/>
      <c r="W4" s="40"/>
      <c r="X4" s="39"/>
      <c r="Y4" s="38"/>
      <c r="Z4" s="41"/>
      <c r="AA4" s="38"/>
      <c r="AB4" s="41"/>
      <c r="AC4" s="38"/>
      <c r="AD4" s="41"/>
      <c r="AE4" s="38"/>
      <c r="AF4" s="41"/>
      <c r="AG4" s="38"/>
      <c r="AH4" s="41"/>
      <c r="AI4" s="41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</row>
    <row r="5" spans="1:172" s="42" customFormat="1" x14ac:dyDescent="0.2">
      <c r="A5" s="14" t="s">
        <v>90</v>
      </c>
      <c r="B5" s="14" t="s">
        <v>90</v>
      </c>
      <c r="C5" s="14" t="str">
        <f t="shared" si="0"/>
        <v>Suez Environnement</v>
      </c>
      <c r="D5" s="15">
        <v>16.13</v>
      </c>
      <c r="E5" s="34">
        <v>564.38</v>
      </c>
      <c r="F5" s="15">
        <v>15.14</v>
      </c>
      <c r="G5" s="34">
        <v>530</v>
      </c>
      <c r="H5" s="15">
        <v>12.76</v>
      </c>
      <c r="I5" s="34">
        <v>446</v>
      </c>
      <c r="J5" s="15">
        <v>12.54</v>
      </c>
      <c r="K5" s="34">
        <v>439</v>
      </c>
      <c r="L5" s="15">
        <v>10.59</v>
      </c>
      <c r="M5" s="34">
        <v>370</v>
      </c>
      <c r="N5" s="15">
        <v>12.05</v>
      </c>
      <c r="O5" s="34">
        <v>422</v>
      </c>
      <c r="P5" s="35"/>
      <c r="Q5" s="36"/>
      <c r="R5" s="37"/>
      <c r="S5" s="38"/>
      <c r="T5" s="39"/>
      <c r="U5" s="38"/>
      <c r="V5" s="39"/>
      <c r="W5" s="40"/>
      <c r="X5" s="39"/>
      <c r="Y5" s="38"/>
      <c r="Z5" s="41"/>
      <c r="AA5" s="38"/>
      <c r="AB5" s="41"/>
      <c r="AC5" s="38"/>
      <c r="AD5" s="41"/>
      <c r="AE5" s="38"/>
      <c r="AF5" s="41"/>
      <c r="AG5" s="38"/>
      <c r="AH5" s="41"/>
      <c r="AI5" s="41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</row>
    <row r="6" spans="1:172" x14ac:dyDescent="0.2">
      <c r="A6" s="14" t="s">
        <v>79</v>
      </c>
      <c r="B6" s="14" t="str">
        <f>A6</f>
        <v>Total</v>
      </c>
      <c r="C6" s="14" t="str">
        <f t="shared" si="0"/>
        <v>Total</v>
      </c>
      <c r="D6" s="43">
        <v>45.01</v>
      </c>
      <c r="E6" s="16">
        <v>4227.79</v>
      </c>
      <c r="F6" s="43">
        <v>40.64</v>
      </c>
      <c r="G6" s="16">
        <v>3817</v>
      </c>
      <c r="H6" s="43">
        <v>40.19</v>
      </c>
      <c r="I6" s="16">
        <v>3775</v>
      </c>
      <c r="J6" s="43">
        <v>39.75</v>
      </c>
      <c r="K6" s="16">
        <v>3734</v>
      </c>
      <c r="L6" s="43">
        <v>35.33</v>
      </c>
      <c r="M6" s="16">
        <v>3318</v>
      </c>
      <c r="N6" s="43">
        <v>38.909999999999997</v>
      </c>
      <c r="O6" s="16">
        <v>3655</v>
      </c>
      <c r="P6" s="17"/>
      <c r="Q6" s="29"/>
      <c r="R6" s="30"/>
      <c r="S6" s="29">
        <v>120.9</v>
      </c>
      <c r="T6" s="30">
        <v>2351</v>
      </c>
      <c r="U6" s="29">
        <v>125.1</v>
      </c>
      <c r="V6" s="30">
        <v>2399</v>
      </c>
      <c r="W6" s="44">
        <f>460.3/4.5</f>
        <v>102.28888888888889</v>
      </c>
      <c r="X6" s="30">
        <v>1921</v>
      </c>
      <c r="Y6" s="32">
        <v>86.76</v>
      </c>
      <c r="Z6" s="33">
        <v>1590</v>
      </c>
      <c r="AA6" s="32" t="e">
        <f>12875/(#REF!*4.5)</f>
        <v>#REF!</v>
      </c>
      <c r="AB6" s="33" t="e">
        <f>52109/#REF!</f>
        <v>#REF!</v>
      </c>
      <c r="AC6" s="32" t="e">
        <f>15275/(#REF!*4.5)</f>
        <v>#REF!</v>
      </c>
      <c r="AD6" s="33" t="e">
        <f>61445/#REF!</f>
        <v>#REF!</v>
      </c>
      <c r="AE6" s="32" t="e">
        <f>13950/#REF!</f>
        <v>#REF!</v>
      </c>
      <c r="AF6" s="33" t="e">
        <f>38455/#REF!</f>
        <v>#REF!</v>
      </c>
      <c r="AG6" s="29" t="e">
        <f>13675/#REF!</f>
        <v>#REF!</v>
      </c>
      <c r="AH6" s="33" t="e">
        <f>35072/#REF!</f>
        <v>#REF!</v>
      </c>
      <c r="AI6" s="14" t="s">
        <v>6</v>
      </c>
    </row>
    <row r="7" spans="1:172" x14ac:dyDescent="0.2">
      <c r="A7" s="14" t="s">
        <v>84</v>
      </c>
      <c r="B7" s="14" t="str">
        <f>A7</f>
        <v xml:space="preserve">Imerys </v>
      </c>
      <c r="C7" s="14" t="str">
        <f t="shared" si="0"/>
        <v xml:space="preserve">Imerys </v>
      </c>
      <c r="D7" s="43">
        <v>42.02</v>
      </c>
      <c r="E7" s="16">
        <v>971.16</v>
      </c>
      <c r="F7" s="43">
        <v>37.4</v>
      </c>
      <c r="G7" s="16">
        <v>864</v>
      </c>
      <c r="H7" s="43">
        <v>33.51</v>
      </c>
      <c r="I7" s="16">
        <v>775</v>
      </c>
      <c r="J7" s="43">
        <v>33</v>
      </c>
      <c r="K7" s="16">
        <v>686</v>
      </c>
      <c r="L7" s="43">
        <v>24.15</v>
      </c>
      <c r="M7" s="16">
        <v>463</v>
      </c>
      <c r="N7" s="43">
        <v>32.5</v>
      </c>
      <c r="O7" s="16">
        <v>623</v>
      </c>
      <c r="P7" s="17"/>
      <c r="Q7" s="29"/>
      <c r="R7" s="33"/>
      <c r="S7" s="29">
        <v>159.9</v>
      </c>
      <c r="T7" s="33">
        <v>2134</v>
      </c>
      <c r="U7" s="29">
        <v>174.9</v>
      </c>
      <c r="V7" s="33">
        <v>2278</v>
      </c>
      <c r="W7" s="32">
        <v>173.2</v>
      </c>
      <c r="X7" s="33">
        <v>2197</v>
      </c>
      <c r="Y7" s="32">
        <f>1148/AK1</f>
        <v>175.01147178854711</v>
      </c>
      <c r="Z7" s="33">
        <f>85728/AJ1</f>
        <v>2125.1416091760266</v>
      </c>
      <c r="AA7" s="32">
        <f>1029/AK1</f>
        <v>156.87003873729529</v>
      </c>
      <c r="AB7" s="33">
        <f>76396/AJ1</f>
        <v>1893.8073718576397</v>
      </c>
      <c r="AC7" s="32">
        <f>995/AK1</f>
        <v>151.68677215122332</v>
      </c>
      <c r="AD7" s="33">
        <f>73440/AJ1</f>
        <v>1820.5300459346702</v>
      </c>
      <c r="AE7" s="32">
        <f>889/AK1</f>
        <v>135.52717632405782</v>
      </c>
      <c r="AF7" s="33">
        <f>41140/AJ1</f>
        <v>1019.8339609171069</v>
      </c>
      <c r="AG7" s="29">
        <f>666/AK1</f>
        <v>101.53104548011531</v>
      </c>
      <c r="AH7" s="33">
        <f>28071/AJ1</f>
        <v>695.86191339096035</v>
      </c>
      <c r="AI7" s="14" t="s">
        <v>6</v>
      </c>
    </row>
    <row r="8" spans="1:172" x14ac:dyDescent="0.2">
      <c r="A8" s="1" t="s">
        <v>81</v>
      </c>
      <c r="B8" s="14" t="str">
        <f>A8</f>
        <v>Lafarge</v>
      </c>
      <c r="C8" s="14" t="str">
        <f t="shared" si="0"/>
        <v>Lafarge</v>
      </c>
      <c r="D8" s="43">
        <v>57.81</v>
      </c>
      <c r="E8" s="34">
        <v>3486.43</v>
      </c>
      <c r="F8" s="43">
        <v>55.45</v>
      </c>
      <c r="G8" s="34">
        <v>3344</v>
      </c>
      <c r="H8" s="43">
        <v>49.56</v>
      </c>
      <c r="I8" s="34">
        <v>2989</v>
      </c>
      <c r="J8" s="43">
        <v>45.94</v>
      </c>
      <c r="K8" s="34">
        <v>2719</v>
      </c>
      <c r="L8" s="43">
        <v>32.83</v>
      </c>
      <c r="M8" s="34">
        <v>1354</v>
      </c>
      <c r="N8" s="43">
        <v>43.35</v>
      </c>
      <c r="O8" s="34">
        <v>1789</v>
      </c>
      <c r="P8" s="17"/>
      <c r="Q8" s="29"/>
      <c r="R8" s="30"/>
      <c r="S8" s="29">
        <v>149.1</v>
      </c>
      <c r="T8" s="30">
        <v>624</v>
      </c>
      <c r="U8" s="29">
        <v>144</v>
      </c>
      <c r="V8" s="30">
        <v>603</v>
      </c>
      <c r="W8" s="31">
        <v>99.6</v>
      </c>
      <c r="X8" s="30">
        <v>417</v>
      </c>
      <c r="Y8" s="32">
        <f>560/AK1</f>
        <v>85.371449652949821</v>
      </c>
      <c r="Z8" s="33">
        <f>14416/AJ1</f>
        <v>357.36330531310193</v>
      </c>
      <c r="AA8" s="32">
        <f>563/AK1</f>
        <v>85.828796704662039</v>
      </c>
      <c r="AB8" s="33">
        <f>14484/AJ1</f>
        <v>359.04898128155992</v>
      </c>
      <c r="AC8" s="32">
        <f>831/AK1</f>
        <v>126.68513332428803</v>
      </c>
      <c r="AD8" s="33">
        <f>19136/AJ1</f>
        <v>474.3690490060709</v>
      </c>
      <c r="AE8" s="32">
        <f>818/AK1</f>
        <v>124.7032961002017</v>
      </c>
      <c r="AF8" s="33">
        <f>16662/AJ1</f>
        <v>413.04019097717151</v>
      </c>
      <c r="AG8" s="29">
        <f>748/AK1</f>
        <v>114.03186489358296</v>
      </c>
      <c r="AH8" s="33">
        <f>15243/AJ1</f>
        <v>377.8640998118488</v>
      </c>
      <c r="AI8" s="14" t="s">
        <v>6</v>
      </c>
    </row>
    <row r="9" spans="1:172" x14ac:dyDescent="0.2">
      <c r="A9" s="1"/>
      <c r="D9" s="46"/>
      <c r="F9" s="46"/>
      <c r="H9" s="46"/>
      <c r="J9" s="46"/>
      <c r="L9" s="46"/>
      <c r="N9" s="46"/>
      <c r="P9" s="17"/>
      <c r="Q9" s="29"/>
      <c r="R9" s="33"/>
      <c r="S9" s="47"/>
      <c r="T9" s="47" t="s">
        <v>16</v>
      </c>
      <c r="U9" s="48"/>
      <c r="V9" s="47" t="s">
        <v>16</v>
      </c>
      <c r="X9" s="47" t="s">
        <v>16</v>
      </c>
      <c r="Y9" s="23"/>
      <c r="Z9" s="47" t="s">
        <v>16</v>
      </c>
      <c r="AA9" s="23"/>
      <c r="AB9" s="47"/>
      <c r="AC9" s="23"/>
      <c r="AD9" s="47"/>
      <c r="AE9" s="23"/>
      <c r="AF9" s="33"/>
      <c r="AG9" s="25"/>
      <c r="AH9" s="33"/>
      <c r="AI9" s="14"/>
    </row>
    <row r="10" spans="1:172" x14ac:dyDescent="0.2">
      <c r="A10" s="14" t="s">
        <v>17</v>
      </c>
      <c r="B10" s="14" t="s">
        <v>18</v>
      </c>
      <c r="C10" s="14" t="s">
        <v>19</v>
      </c>
      <c r="D10" s="15"/>
      <c r="E10" s="16">
        <v>212</v>
      </c>
      <c r="F10" s="15"/>
      <c r="G10" s="16">
        <v>206</v>
      </c>
      <c r="H10" s="15"/>
      <c r="I10" s="16">
        <v>188</v>
      </c>
      <c r="J10" s="15"/>
      <c r="K10" s="16">
        <v>202</v>
      </c>
      <c r="L10" s="15"/>
      <c r="M10" s="16">
        <v>190</v>
      </c>
      <c r="N10" s="15"/>
      <c r="O10" s="16">
        <v>196</v>
      </c>
      <c r="P10" s="17"/>
      <c r="Q10" s="29"/>
      <c r="R10" s="30"/>
      <c r="S10" s="48"/>
      <c r="T10" s="30">
        <v>266</v>
      </c>
      <c r="U10" s="48"/>
      <c r="V10" s="30">
        <v>257</v>
      </c>
      <c r="X10" s="30">
        <f>25+190</f>
        <v>215</v>
      </c>
      <c r="Y10" s="23" t="s">
        <v>3</v>
      </c>
      <c r="Z10" s="33">
        <f>7517/AJ1+1</f>
        <v>187.34156257204407</v>
      </c>
      <c r="AA10" s="23" t="s">
        <v>3</v>
      </c>
      <c r="AB10" s="33">
        <f>10221/AJ1</f>
        <v>253.37197167072799</v>
      </c>
      <c r="AC10" s="23" t="s">
        <v>6</v>
      </c>
      <c r="AD10" s="33">
        <f>13264/AJ1</f>
        <v>328.80597125922475</v>
      </c>
      <c r="AE10" s="23" t="s">
        <v>6</v>
      </c>
      <c r="AF10" s="33">
        <f>15670/AJ1+1</f>
        <v>389.44915331966615</v>
      </c>
      <c r="AG10" s="25" t="s">
        <v>6</v>
      </c>
      <c r="AH10" s="33">
        <f>22978/AJ1</f>
        <v>569.60974122394953</v>
      </c>
      <c r="AI10" s="14" t="s">
        <v>6</v>
      </c>
    </row>
    <row r="11" spans="1:172" s="53" customFormat="1" ht="25.5" x14ac:dyDescent="0.2">
      <c r="A11" s="50" t="s">
        <v>91</v>
      </c>
      <c r="B11" s="50" t="s">
        <v>86</v>
      </c>
      <c r="C11" s="50" t="s">
        <v>87</v>
      </c>
      <c r="D11" s="51"/>
      <c r="E11" s="16">
        <v>568.49</v>
      </c>
      <c r="F11" s="51"/>
      <c r="G11" s="16">
        <v>390</v>
      </c>
      <c r="H11" s="51"/>
      <c r="I11" s="16">
        <v>319</v>
      </c>
      <c r="J11" s="51"/>
      <c r="K11" s="16">
        <v>263</v>
      </c>
      <c r="L11" s="51"/>
      <c r="M11" s="16">
        <v>743</v>
      </c>
      <c r="N11" s="51"/>
      <c r="O11" s="16">
        <v>846</v>
      </c>
      <c r="P11" s="17"/>
      <c r="Q11" s="29"/>
      <c r="R11" s="30"/>
      <c r="S11" s="52"/>
      <c r="T11" s="53">
        <v>392</v>
      </c>
      <c r="U11" s="52"/>
      <c r="V11" s="53">
        <v>414</v>
      </c>
      <c r="W11" s="54"/>
      <c r="X11" s="53">
        <v>527</v>
      </c>
      <c r="Y11" s="55" t="s">
        <v>3</v>
      </c>
      <c r="Z11" s="55">
        <f>24308/AJ1</f>
        <v>602.57958001879035</v>
      </c>
      <c r="AA11" s="55" t="s">
        <v>3</v>
      </c>
      <c r="AB11" s="55">
        <f>22554/AJ1</f>
        <v>559.09905577356415</v>
      </c>
      <c r="AC11" s="55" t="s">
        <v>6</v>
      </c>
      <c r="AD11" s="55">
        <f>29104/AJ1</f>
        <v>721.46931450003592</v>
      </c>
      <c r="AE11" s="55" t="s">
        <v>6</v>
      </c>
      <c r="AF11" s="55">
        <f>48989/AJ1+1</f>
        <v>1215.4055885116225</v>
      </c>
      <c r="AG11" s="50" t="s">
        <v>6</v>
      </c>
      <c r="AH11" s="55">
        <f>37124/AJ1+1</f>
        <v>921.27992136817397</v>
      </c>
      <c r="AI11" s="50" t="s">
        <v>6</v>
      </c>
    </row>
    <row r="12" spans="1:172" s="129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v>15232.2</v>
      </c>
      <c r="F12" s="57"/>
      <c r="G12" s="58">
        <v>13990</v>
      </c>
      <c r="H12" s="57"/>
      <c r="I12" s="58">
        <v>12954</v>
      </c>
      <c r="J12" s="57"/>
      <c r="K12" s="58">
        <v>12294</v>
      </c>
      <c r="L12" s="57"/>
      <c r="M12" s="58">
        <v>10059</v>
      </c>
      <c r="N12" s="57"/>
      <c r="O12" s="58">
        <v>12811</v>
      </c>
      <c r="P12" s="122"/>
      <c r="Q12" s="123"/>
      <c r="R12" s="124"/>
      <c r="S12" s="125"/>
      <c r="T12" s="124" t="e">
        <f>SUM(T3:T7:#REF!)-#REF!-T4</f>
        <v>#REF!</v>
      </c>
      <c r="U12" s="125"/>
      <c r="V12" s="124" t="e">
        <f>SUM(V3:V7:#REF!)-#REF!-V4</f>
        <v>#REF!</v>
      </c>
      <c r="W12" s="126"/>
      <c r="X12" s="124" t="e">
        <f>SUM(X3:X7:#REF!)-#REF!-X4</f>
        <v>#REF!</v>
      </c>
      <c r="Y12" s="127" t="s">
        <v>3</v>
      </c>
      <c r="Z12" s="124" t="e">
        <f>SUM(Z3:Z7:#REF!)-#REF!-Z4-1</f>
        <v>#REF!</v>
      </c>
      <c r="AA12" s="127" t="s">
        <v>3</v>
      </c>
      <c r="AB12" s="124">
        <f>SUM(AB7:AB11)</f>
        <v>3065.3273805834915</v>
      </c>
      <c r="AC12" s="127" t="s">
        <v>6</v>
      </c>
      <c r="AD12" s="124">
        <f>SUM(AD7:AD11)</f>
        <v>3345.1743807000021</v>
      </c>
      <c r="AE12" s="127" t="s">
        <v>6</v>
      </c>
      <c r="AF12" s="124">
        <f>SUM(AF7:AF11)-2</f>
        <v>3035.7288937255671</v>
      </c>
      <c r="AG12" s="128" t="s">
        <v>6</v>
      </c>
      <c r="AH12" s="124">
        <f>SUM(AH7:AH11)-1</f>
        <v>2563.6156757949329</v>
      </c>
      <c r="AI12" s="56" t="s">
        <v>6</v>
      </c>
      <c r="AJ12" s="129">
        <f>236182/AJ1</f>
        <v>5854.7988467993227</v>
      </c>
      <c r="AK12" s="129">
        <f>214263/AJ1</f>
        <v>5311.4410298488592</v>
      </c>
    </row>
    <row r="13" spans="1:172" s="72" customFormat="1" ht="25.5" customHeight="1" x14ac:dyDescent="0.2">
      <c r="A13" s="66" t="s">
        <v>27</v>
      </c>
      <c r="B13" s="66" t="s">
        <v>137</v>
      </c>
      <c r="C13" s="66" t="s">
        <v>28</v>
      </c>
      <c r="D13" s="67"/>
      <c r="E13" s="68">
        <v>94.4</v>
      </c>
      <c r="F13" s="67"/>
      <c r="G13" s="68">
        <v>86.7</v>
      </c>
      <c r="H13" s="67"/>
      <c r="I13" s="68">
        <v>80.28</v>
      </c>
      <c r="J13" s="67"/>
      <c r="K13" s="68">
        <v>76.19</v>
      </c>
      <c r="L13" s="67"/>
      <c r="M13" s="68">
        <v>62.34</v>
      </c>
      <c r="N13" s="67"/>
      <c r="O13" s="68">
        <v>79.39</v>
      </c>
      <c r="P13" s="69"/>
      <c r="Q13" s="70"/>
      <c r="R13" s="22"/>
      <c r="S13" s="71"/>
      <c r="T13" s="22">
        <v>289.33</v>
      </c>
      <c r="U13" s="71"/>
      <c r="V13" s="22">
        <v>256.52999999999997</v>
      </c>
      <c r="W13" s="62"/>
      <c r="X13" s="22">
        <v>256.52999999999997</v>
      </c>
      <c r="Y13" s="22" t="s">
        <v>3</v>
      </c>
      <c r="Z13" s="22">
        <v>239.64</v>
      </c>
      <c r="AA13" s="22" t="s">
        <v>3</v>
      </c>
      <c r="AB13" s="22">
        <v>217.47</v>
      </c>
      <c r="AC13" s="22"/>
      <c r="AD13" s="22">
        <v>238.97</v>
      </c>
      <c r="AE13" s="22" t="s">
        <v>6</v>
      </c>
      <c r="AF13" s="22">
        <v>206.87</v>
      </c>
      <c r="AG13" s="63" t="s">
        <v>6</v>
      </c>
      <c r="AH13" s="22">
        <v>178.36</v>
      </c>
      <c r="AI13" s="63" t="s">
        <v>6</v>
      </c>
    </row>
    <row r="14" spans="1:172" s="72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66.05</v>
      </c>
      <c r="F14" s="67"/>
      <c r="G14" s="73">
        <v>60.05</v>
      </c>
      <c r="H14" s="67"/>
      <c r="I14" s="73">
        <v>54.93</v>
      </c>
      <c r="J14" s="67"/>
      <c r="K14" s="73">
        <v>58.2</v>
      </c>
      <c r="L14" s="67"/>
      <c r="M14" s="73">
        <v>48.76</v>
      </c>
      <c r="N14" s="67"/>
      <c r="O14" s="73">
        <v>56.86</v>
      </c>
      <c r="P14" s="66"/>
      <c r="Q14" s="71"/>
      <c r="S14" s="71"/>
      <c r="T14" s="72">
        <v>186.9</v>
      </c>
      <c r="U14" s="71"/>
      <c r="V14" s="72">
        <v>163.9</v>
      </c>
      <c r="W14" s="62"/>
      <c r="X14" s="72">
        <v>167.5</v>
      </c>
      <c r="Y14" s="69" t="s">
        <v>3</v>
      </c>
      <c r="Z14" s="69">
        <v>173.53</v>
      </c>
      <c r="AA14" s="69" t="s">
        <v>3</v>
      </c>
      <c r="AB14" s="69">
        <v>160.63999999999999</v>
      </c>
      <c r="AC14" s="22" t="s">
        <v>6</v>
      </c>
      <c r="AD14" s="22">
        <v>186.17</v>
      </c>
      <c r="AE14" s="22" t="s">
        <v>6</v>
      </c>
      <c r="AF14" s="22">
        <v>160.63999999999999</v>
      </c>
      <c r="AG14" s="63" t="s">
        <v>6</v>
      </c>
      <c r="AH14" s="22">
        <v>132.87</v>
      </c>
      <c r="AI14" s="66" t="s">
        <v>6</v>
      </c>
    </row>
    <row r="15" spans="1:172" s="78" customFormat="1" x14ac:dyDescent="0.2">
      <c r="A15" s="74"/>
      <c r="B15" s="74"/>
      <c r="C15" s="74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4"/>
      <c r="Q15" s="77"/>
      <c r="S15" s="77"/>
      <c r="T15" s="78">
        <v>0.35399999999999998</v>
      </c>
      <c r="U15" s="77"/>
      <c r="V15" s="78">
        <v>0.443</v>
      </c>
      <c r="W15" s="79"/>
      <c r="X15" s="78">
        <v>0.34699999999999998</v>
      </c>
      <c r="Y15" s="80" t="s">
        <v>3</v>
      </c>
      <c r="Z15" s="80">
        <v>0.27600000000000002</v>
      </c>
      <c r="AA15" s="80" t="s">
        <v>3</v>
      </c>
      <c r="AB15" s="80">
        <v>0.26</v>
      </c>
      <c r="AC15" s="80" t="s">
        <v>6</v>
      </c>
      <c r="AD15" s="80">
        <v>0.221</v>
      </c>
      <c r="AE15" s="80" t="s">
        <v>6</v>
      </c>
      <c r="AF15" s="80">
        <v>0.224</v>
      </c>
      <c r="AG15" s="74" t="s">
        <v>6</v>
      </c>
      <c r="AH15" s="80">
        <v>0.255</v>
      </c>
      <c r="AI15" s="74" t="s">
        <v>6</v>
      </c>
    </row>
    <row r="16" spans="1:172" s="65" customFormat="1" x14ac:dyDescent="0.2">
      <c r="A16" s="64" t="s">
        <v>74</v>
      </c>
      <c r="B16" s="64" t="s">
        <v>78</v>
      </c>
      <c r="C16" s="81" t="s">
        <v>77</v>
      </c>
      <c r="D16" s="82"/>
      <c r="E16" s="83">
        <v>161358287</v>
      </c>
      <c r="F16" s="82"/>
      <c r="G16" s="83">
        <v>161358287</v>
      </c>
      <c r="H16" s="82"/>
      <c r="I16" s="83">
        <v>161358287</v>
      </c>
      <c r="J16" s="84"/>
      <c r="K16" s="83">
        <v>161358287</v>
      </c>
      <c r="L16" s="84"/>
      <c r="M16" s="83">
        <v>161358287</v>
      </c>
      <c r="N16" s="84"/>
      <c r="O16" s="83">
        <v>161358287</v>
      </c>
      <c r="P16" s="59"/>
      <c r="Q16" s="60"/>
      <c r="R16" s="19"/>
      <c r="S16" s="61"/>
      <c r="T16" s="19">
        <v>24432025</v>
      </c>
      <c r="U16" s="61"/>
      <c r="V16" s="19">
        <v>24432025</v>
      </c>
      <c r="W16" s="62"/>
      <c r="X16" s="19">
        <v>24432025</v>
      </c>
      <c r="Y16" s="22" t="s">
        <v>3</v>
      </c>
      <c r="Z16" s="19">
        <v>24432025</v>
      </c>
      <c r="AA16" s="22" t="s">
        <v>3</v>
      </c>
      <c r="AB16" s="19">
        <v>24458667</v>
      </c>
      <c r="AC16" s="22" t="s">
        <v>6</v>
      </c>
      <c r="AD16" s="19">
        <v>24402157</v>
      </c>
      <c r="AE16" s="22" t="s">
        <v>6</v>
      </c>
      <c r="AF16" s="19">
        <v>25783578</v>
      </c>
      <c r="AG16" s="63" t="s">
        <v>6</v>
      </c>
      <c r="AH16" s="19">
        <v>25783578</v>
      </c>
      <c r="AI16" s="64" t="s">
        <v>6</v>
      </c>
    </row>
    <row r="17" spans="2:30" x14ac:dyDescent="0.2">
      <c r="Q17" s="31"/>
    </row>
    <row r="18" spans="2:30" ht="12.75" customHeight="1" x14ac:dyDescent="0.2">
      <c r="B18" s="88"/>
      <c r="C18" s="89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2"/>
      <c r="Q18" s="88"/>
      <c r="R18" s="93"/>
      <c r="S18" s="26"/>
      <c r="T18" s="23"/>
      <c r="U18" s="14"/>
      <c r="V18" s="23"/>
      <c r="W18" s="47"/>
      <c r="X18" s="47"/>
      <c r="Y18" s="47"/>
      <c r="Z18" s="47"/>
      <c r="AA18" s="47"/>
      <c r="AB18" s="47"/>
      <c r="AC18" s="47"/>
      <c r="AD18" s="14"/>
    </row>
    <row r="19" spans="2:30" x14ac:dyDescent="0.2">
      <c r="D19" s="94"/>
      <c r="F19" s="94"/>
      <c r="H19" s="94"/>
      <c r="J19" s="94"/>
      <c r="L19" s="94"/>
      <c r="N19" s="94"/>
      <c r="Q19" s="31"/>
      <c r="U19" s="49"/>
      <c r="Y19" s="87"/>
      <c r="AA19" s="26"/>
    </row>
    <row r="20" spans="2:30" x14ac:dyDescent="0.2">
      <c r="D20" s="94"/>
      <c r="F20" s="94"/>
      <c r="H20" s="94"/>
      <c r="J20" s="94"/>
      <c r="L20" s="94"/>
      <c r="N20" s="94"/>
      <c r="Q20" s="31"/>
      <c r="U20" s="49"/>
      <c r="Y20" s="87"/>
      <c r="AA20" s="26"/>
    </row>
    <row r="21" spans="2:30" x14ac:dyDescent="0.2">
      <c r="D21" s="94"/>
      <c r="F21" s="94"/>
      <c r="H21" s="94"/>
      <c r="J21" s="94"/>
      <c r="L21" s="94"/>
      <c r="N21" s="94"/>
      <c r="Q21" s="31"/>
      <c r="U21" s="49"/>
      <c r="Y21" s="87"/>
      <c r="AA21" s="26"/>
    </row>
    <row r="22" spans="2:30" x14ac:dyDescent="0.2">
      <c r="D22" s="94"/>
      <c r="F22" s="94"/>
      <c r="H22" s="94"/>
      <c r="J22" s="94"/>
      <c r="L22" s="94"/>
      <c r="N22" s="94"/>
      <c r="Q22" s="31"/>
      <c r="U22" s="49"/>
      <c r="Y22" s="87"/>
      <c r="AA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FP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1.5703125" style="85" customWidth="1"/>
    <col min="5" max="5" width="12.42578125" style="45" customWidth="1"/>
    <col min="6" max="6" width="11.5703125" style="85" customWidth="1"/>
    <col min="7" max="7" width="12.42578125" style="45" customWidth="1"/>
    <col min="8" max="8" width="11.5703125" style="85" customWidth="1"/>
    <col min="9" max="9" width="12.42578125" style="45" customWidth="1"/>
    <col min="10" max="10" width="11.5703125" style="85" customWidth="1"/>
    <col min="11" max="11" width="12.42578125" style="45" customWidth="1"/>
    <col min="12" max="12" width="11.5703125" style="85" customWidth="1"/>
    <col min="13" max="13" width="12.42578125" style="45" customWidth="1"/>
    <col min="14" max="14" width="11.5703125" style="85" customWidth="1"/>
    <col min="15" max="15" width="12.42578125" style="45" customWidth="1"/>
    <col min="16" max="16" width="12.42578125" style="26" customWidth="1"/>
    <col min="17" max="17" width="11.42578125" style="86" customWidth="1"/>
    <col min="18" max="18" width="11.42578125" style="26" customWidth="1"/>
    <col min="19" max="19" width="9.140625" style="86" hidden="1" customWidth="1"/>
    <col min="20" max="20" width="9.140625" style="26" hidden="1" customWidth="1"/>
    <col min="21" max="21" width="9.140625" style="86" hidden="1" customWidth="1"/>
    <col min="22" max="22" width="9.140625" style="26" hidden="1" customWidth="1"/>
    <col min="23" max="23" width="11.5703125" style="49" hidden="1" customWidth="1"/>
    <col min="24" max="24" width="9.140625" style="26" hidden="1" customWidth="1"/>
    <col min="25" max="25" width="9.140625" style="49" hidden="1" customWidth="1"/>
    <col min="26" max="26" width="9.140625" style="26" hidden="1" customWidth="1"/>
    <col min="27" max="27" width="11.5703125" style="87" hidden="1" customWidth="1"/>
    <col min="28" max="30" width="9.140625" style="26" hidden="1" customWidth="1"/>
    <col min="31" max="34" width="11.42578125" style="26" hidden="1" customWidth="1"/>
    <col min="35" max="35" width="11.42578125" style="26" customWidth="1"/>
    <col min="36" max="37" width="9.140625" style="26" hidden="1" customWidth="1"/>
    <col min="38" max="16384" width="11.42578125" style="26"/>
  </cols>
  <sheetData>
    <row r="1" spans="1:172" s="13" customFormat="1" x14ac:dyDescent="0.2">
      <c r="A1" s="2" t="s">
        <v>0</v>
      </c>
      <c r="B1" s="2" t="s">
        <v>1</v>
      </c>
      <c r="C1" s="2" t="s">
        <v>2</v>
      </c>
      <c r="D1" s="3"/>
      <c r="E1" s="4">
        <v>40543</v>
      </c>
      <c r="F1" s="3"/>
      <c r="G1" s="4">
        <v>40480</v>
      </c>
      <c r="H1" s="3"/>
      <c r="I1" s="4">
        <v>40382</v>
      </c>
      <c r="J1" s="3"/>
      <c r="K1" s="4">
        <v>40298</v>
      </c>
      <c r="L1" s="3"/>
      <c r="M1" s="4">
        <v>40235</v>
      </c>
      <c r="N1" s="3"/>
      <c r="O1" s="4">
        <v>40178</v>
      </c>
      <c r="P1" s="5"/>
      <c r="Q1" s="6"/>
      <c r="R1" s="5"/>
      <c r="S1" s="7"/>
      <c r="T1" s="8">
        <v>36420</v>
      </c>
      <c r="U1" s="7"/>
      <c r="V1" s="8">
        <v>36341</v>
      </c>
      <c r="W1" s="8"/>
      <c r="X1" s="8">
        <v>36231</v>
      </c>
      <c r="Y1" s="8"/>
      <c r="Z1" s="8">
        <v>36160</v>
      </c>
      <c r="AA1" s="9"/>
      <c r="AB1" s="8">
        <v>36052</v>
      </c>
      <c r="AC1" s="10" t="s">
        <v>3</v>
      </c>
      <c r="AD1" s="11">
        <v>35976</v>
      </c>
      <c r="AE1" s="10" t="s">
        <v>3</v>
      </c>
      <c r="AF1" s="11">
        <v>35884</v>
      </c>
      <c r="AG1" s="12" t="s">
        <v>3</v>
      </c>
      <c r="AH1" s="11">
        <v>35795</v>
      </c>
      <c r="AJ1" s="13">
        <v>40.3399</v>
      </c>
      <c r="AK1" s="13">
        <v>6.5595699999999999</v>
      </c>
    </row>
    <row r="2" spans="1:172" x14ac:dyDescent="0.2">
      <c r="A2" s="14" t="s">
        <v>88</v>
      </c>
      <c r="B2" s="14" t="str">
        <f>A2</f>
        <v>Iberdrola</v>
      </c>
      <c r="C2" s="14" t="str">
        <f t="shared" ref="C2:C9" si="0">A2</f>
        <v>Iberdrola</v>
      </c>
      <c r="D2" s="15">
        <v>5.77</v>
      </c>
      <c r="E2" s="16">
        <v>181</v>
      </c>
      <c r="F2" s="15">
        <v>6.06</v>
      </c>
      <c r="G2" s="16">
        <v>191</v>
      </c>
      <c r="H2" s="15">
        <v>5.3</v>
      </c>
      <c r="I2" s="16">
        <v>167</v>
      </c>
      <c r="J2" s="15">
        <v>5.99</v>
      </c>
      <c r="K2" s="16">
        <v>188</v>
      </c>
      <c r="L2" s="15">
        <v>5.91</v>
      </c>
      <c r="M2" s="16">
        <v>186</v>
      </c>
      <c r="N2" s="15">
        <v>6.67</v>
      </c>
      <c r="O2" s="16">
        <v>209.63</v>
      </c>
      <c r="P2" s="17"/>
      <c r="Q2" s="18"/>
      <c r="R2" s="19"/>
      <c r="S2" s="20"/>
      <c r="T2" s="21"/>
      <c r="U2" s="20"/>
      <c r="V2" s="21"/>
      <c r="W2" s="21"/>
      <c r="X2" s="21"/>
      <c r="Y2" s="21"/>
      <c r="Z2" s="21"/>
      <c r="AA2" s="22"/>
      <c r="AB2" s="21"/>
      <c r="AC2" s="23"/>
      <c r="AD2" s="24"/>
      <c r="AE2" s="23"/>
      <c r="AF2" s="24"/>
      <c r="AG2" s="25"/>
      <c r="AH2" s="24"/>
    </row>
    <row r="3" spans="1:172" x14ac:dyDescent="0.2">
      <c r="A3" s="14" t="s">
        <v>82</v>
      </c>
      <c r="B3" s="14" t="str">
        <f>A3</f>
        <v>Pernod Ricard</v>
      </c>
      <c r="C3" s="14" t="str">
        <f t="shared" si="0"/>
        <v>Pernod Ricard</v>
      </c>
      <c r="D3" s="15">
        <v>70.36</v>
      </c>
      <c r="E3" s="27">
        <v>1836</v>
      </c>
      <c r="F3" s="15">
        <v>63.71</v>
      </c>
      <c r="G3" s="27">
        <v>1662</v>
      </c>
      <c r="H3" s="15">
        <v>62.61</v>
      </c>
      <c r="I3" s="27">
        <v>1623</v>
      </c>
      <c r="J3" s="15">
        <v>63.95</v>
      </c>
      <c r="K3" s="27">
        <v>1593</v>
      </c>
      <c r="L3" s="15">
        <v>55.33</v>
      </c>
      <c r="M3" s="27">
        <v>1351</v>
      </c>
      <c r="N3" s="15">
        <v>59.91</v>
      </c>
      <c r="O3" s="27">
        <v>1444.39</v>
      </c>
      <c r="P3" s="28"/>
      <c r="Q3" s="29"/>
      <c r="R3" s="30"/>
      <c r="S3" s="29">
        <v>48.35</v>
      </c>
      <c r="T3" s="30">
        <v>1302</v>
      </c>
      <c r="U3" s="29">
        <v>46.55</v>
      </c>
      <c r="V3" s="30">
        <v>1242</v>
      </c>
      <c r="W3" s="31">
        <v>37.450000000000003</v>
      </c>
      <c r="X3" s="30">
        <v>991</v>
      </c>
      <c r="Y3" s="32">
        <f>1550/AJ1</f>
        <v>38.423496339852107</v>
      </c>
      <c r="Z3" s="33">
        <f>40072/AJ1</f>
        <v>993.35893247132492</v>
      </c>
      <c r="AA3" s="32">
        <f>1498/AJ1</f>
        <v>37.134450011031262</v>
      </c>
      <c r="AB3" s="33">
        <f>38499/AJ1</f>
        <v>954.36528102449438</v>
      </c>
      <c r="AC3" s="32">
        <f>1520/AJ1</f>
        <v>37.679815765532389</v>
      </c>
      <c r="AD3" s="33">
        <f>38837/AJ1</f>
        <v>962.74408216182985</v>
      </c>
      <c r="AE3" s="32">
        <f>1510/AJ1</f>
        <v>37.43192224075915</v>
      </c>
      <c r="AF3" s="33">
        <f>26966/AJ1</f>
        <v>668.46967890351732</v>
      </c>
      <c r="AG3" s="29">
        <f>1510/AJ1</f>
        <v>37.43192224075915</v>
      </c>
      <c r="AH3" s="33">
        <f>25184/AJ1</f>
        <v>624.29505278892611</v>
      </c>
      <c r="AI3" s="1" t="s">
        <v>6</v>
      </c>
    </row>
    <row r="4" spans="1:172" s="42" customFormat="1" x14ac:dyDescent="0.2">
      <c r="A4" s="14" t="s">
        <v>89</v>
      </c>
      <c r="B4" s="14" t="s">
        <v>89</v>
      </c>
      <c r="C4" s="14" t="str">
        <f t="shared" si="0"/>
        <v>GDF SUEZ</v>
      </c>
      <c r="D4" s="15">
        <v>26.85</v>
      </c>
      <c r="E4" s="34">
        <v>3146</v>
      </c>
      <c r="F4" s="15">
        <v>28.68</v>
      </c>
      <c r="G4" s="34">
        <v>3361</v>
      </c>
      <c r="H4" s="15">
        <v>25.31</v>
      </c>
      <c r="I4" s="34">
        <v>2966</v>
      </c>
      <c r="J4" s="15">
        <v>26.8</v>
      </c>
      <c r="K4" s="34">
        <v>3140</v>
      </c>
      <c r="L4" s="15">
        <v>26.97</v>
      </c>
      <c r="M4" s="34">
        <v>3160</v>
      </c>
      <c r="N4" s="15">
        <v>30.29</v>
      </c>
      <c r="O4" s="34">
        <v>3548.91</v>
      </c>
      <c r="P4" s="35"/>
      <c r="Q4" s="36"/>
      <c r="R4" s="37"/>
      <c r="S4" s="38"/>
      <c r="T4" s="39"/>
      <c r="U4" s="38"/>
      <c r="V4" s="39"/>
      <c r="W4" s="40"/>
      <c r="X4" s="39"/>
      <c r="Y4" s="38"/>
      <c r="Z4" s="41"/>
      <c r="AA4" s="38"/>
      <c r="AB4" s="41"/>
      <c r="AC4" s="38"/>
      <c r="AD4" s="41"/>
      <c r="AE4" s="38"/>
      <c r="AF4" s="41"/>
      <c r="AG4" s="38"/>
      <c r="AH4" s="41"/>
      <c r="AI4" s="41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</row>
    <row r="5" spans="1:172" s="42" customFormat="1" x14ac:dyDescent="0.2">
      <c r="A5" s="14" t="s">
        <v>90</v>
      </c>
      <c r="B5" s="14" t="s">
        <v>90</v>
      </c>
      <c r="C5" s="14" t="str">
        <f t="shared" si="0"/>
        <v>Suez Environnement</v>
      </c>
      <c r="D5" s="15">
        <v>15.45</v>
      </c>
      <c r="E5" s="34">
        <v>541</v>
      </c>
      <c r="F5" s="15">
        <v>14.05</v>
      </c>
      <c r="G5" s="34">
        <v>492</v>
      </c>
      <c r="H5" s="15">
        <v>14.45</v>
      </c>
      <c r="I5" s="34">
        <v>506</v>
      </c>
      <c r="J5" s="15">
        <v>16.309999999999999</v>
      </c>
      <c r="K5" s="34">
        <v>571</v>
      </c>
      <c r="L5" s="15">
        <v>16.170000000000002</v>
      </c>
      <c r="M5" s="34">
        <v>566</v>
      </c>
      <c r="N5" s="15">
        <v>16.13</v>
      </c>
      <c r="O5" s="34">
        <v>564.38</v>
      </c>
      <c r="P5" s="35"/>
      <c r="Q5" s="36"/>
      <c r="R5" s="37"/>
      <c r="S5" s="38"/>
      <c r="T5" s="39"/>
      <c r="U5" s="38"/>
      <c r="V5" s="39"/>
      <c r="W5" s="40"/>
      <c r="X5" s="39"/>
      <c r="Y5" s="38"/>
      <c r="Z5" s="41"/>
      <c r="AA5" s="38"/>
      <c r="AB5" s="41"/>
      <c r="AC5" s="38"/>
      <c r="AD5" s="41"/>
      <c r="AE5" s="38"/>
      <c r="AF5" s="41"/>
      <c r="AG5" s="38"/>
      <c r="AH5" s="41"/>
      <c r="AI5" s="41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</row>
    <row r="6" spans="1:172" x14ac:dyDescent="0.2">
      <c r="A6" s="14" t="s">
        <v>79</v>
      </c>
      <c r="B6" s="14" t="str">
        <f>A6</f>
        <v>Total</v>
      </c>
      <c r="C6" s="14" t="str">
        <f t="shared" si="0"/>
        <v>Total</v>
      </c>
      <c r="D6" s="43">
        <v>39.65</v>
      </c>
      <c r="E6" s="16">
        <v>3725</v>
      </c>
      <c r="F6" s="43">
        <v>39.049999999999997</v>
      </c>
      <c r="G6" s="16">
        <v>3668</v>
      </c>
      <c r="H6" s="43">
        <v>38.14</v>
      </c>
      <c r="I6" s="16">
        <v>3583</v>
      </c>
      <c r="J6" s="43">
        <v>40.97</v>
      </c>
      <c r="K6" s="16">
        <v>3849</v>
      </c>
      <c r="L6" s="43">
        <v>40.98</v>
      </c>
      <c r="M6" s="16">
        <v>3850</v>
      </c>
      <c r="N6" s="43">
        <v>45.01</v>
      </c>
      <c r="O6" s="16">
        <v>4227.79</v>
      </c>
      <c r="P6" s="17"/>
      <c r="Q6" s="29"/>
      <c r="R6" s="30"/>
      <c r="S6" s="29">
        <v>120.9</v>
      </c>
      <c r="T6" s="30">
        <v>2351</v>
      </c>
      <c r="U6" s="29">
        <v>125.1</v>
      </c>
      <c r="V6" s="30">
        <v>2399</v>
      </c>
      <c r="W6" s="44">
        <f>460.3/4.5</f>
        <v>102.28888888888889</v>
      </c>
      <c r="X6" s="30">
        <v>1921</v>
      </c>
      <c r="Y6" s="32">
        <v>86.76</v>
      </c>
      <c r="Z6" s="33">
        <v>1590</v>
      </c>
      <c r="AA6" s="32" t="e">
        <f>12875/(#REF!*4.5)</f>
        <v>#REF!</v>
      </c>
      <c r="AB6" s="33" t="e">
        <f>52109/#REF!</f>
        <v>#REF!</v>
      </c>
      <c r="AC6" s="32" t="e">
        <f>15275/(#REF!*4.5)</f>
        <v>#REF!</v>
      </c>
      <c r="AD6" s="33" t="e">
        <f>61445/#REF!</f>
        <v>#REF!</v>
      </c>
      <c r="AE6" s="32" t="e">
        <f>13950/#REF!</f>
        <v>#REF!</v>
      </c>
      <c r="AF6" s="33" t="e">
        <f>38455/#REF!</f>
        <v>#REF!</v>
      </c>
      <c r="AG6" s="29" t="e">
        <f>13675/#REF!</f>
        <v>#REF!</v>
      </c>
      <c r="AH6" s="33" t="e">
        <f>35072/#REF!</f>
        <v>#REF!</v>
      </c>
      <c r="AI6" s="14" t="s">
        <v>6</v>
      </c>
    </row>
    <row r="7" spans="1:172" x14ac:dyDescent="0.2">
      <c r="A7" s="14" t="s">
        <v>84</v>
      </c>
      <c r="B7" s="14" t="str">
        <f>A7</f>
        <v xml:space="preserve">Imerys </v>
      </c>
      <c r="C7" s="14" t="str">
        <f t="shared" si="0"/>
        <v xml:space="preserve">Imerys </v>
      </c>
      <c r="D7" s="43">
        <v>49.89</v>
      </c>
      <c r="E7" s="16">
        <v>1157</v>
      </c>
      <c r="F7" s="43">
        <v>42.88</v>
      </c>
      <c r="G7" s="16">
        <v>995</v>
      </c>
      <c r="H7" s="43">
        <v>45.25</v>
      </c>
      <c r="I7" s="16">
        <v>1046</v>
      </c>
      <c r="J7" s="43">
        <v>46.23</v>
      </c>
      <c r="K7" s="16">
        <v>1068</v>
      </c>
      <c r="L7" s="43">
        <v>37.89</v>
      </c>
      <c r="M7" s="16">
        <v>876</v>
      </c>
      <c r="N7" s="43">
        <v>42.02</v>
      </c>
      <c r="O7" s="16">
        <v>971.16</v>
      </c>
      <c r="P7" s="17"/>
      <c r="Q7" s="29"/>
      <c r="R7" s="33"/>
      <c r="S7" s="29">
        <v>159.9</v>
      </c>
      <c r="T7" s="33">
        <v>2134</v>
      </c>
      <c r="U7" s="29">
        <v>174.9</v>
      </c>
      <c r="V7" s="33">
        <v>2278</v>
      </c>
      <c r="W7" s="32">
        <v>173.2</v>
      </c>
      <c r="X7" s="33">
        <v>2197</v>
      </c>
      <c r="Y7" s="32">
        <f>1148/AK1</f>
        <v>175.01147178854711</v>
      </c>
      <c r="Z7" s="33">
        <f>85728/AJ1</f>
        <v>2125.1416091760266</v>
      </c>
      <c r="AA7" s="32">
        <f>1029/AK1</f>
        <v>156.87003873729529</v>
      </c>
      <c r="AB7" s="33">
        <f>76396/AJ1</f>
        <v>1893.8073718576397</v>
      </c>
      <c r="AC7" s="32">
        <f>995/AK1</f>
        <v>151.68677215122332</v>
      </c>
      <c r="AD7" s="33">
        <f>73440/AJ1</f>
        <v>1820.5300459346702</v>
      </c>
      <c r="AE7" s="32">
        <f>889/AK1</f>
        <v>135.52717632405782</v>
      </c>
      <c r="AF7" s="33">
        <f>41140/AJ1</f>
        <v>1019.8339609171069</v>
      </c>
      <c r="AG7" s="29">
        <f>666/AK1</f>
        <v>101.53104548011531</v>
      </c>
      <c r="AH7" s="33">
        <f>28071/AJ1</f>
        <v>695.86191339096035</v>
      </c>
      <c r="AI7" s="14" t="s">
        <v>6</v>
      </c>
    </row>
    <row r="8" spans="1:172" x14ac:dyDescent="0.2">
      <c r="A8" s="1" t="s">
        <v>81</v>
      </c>
      <c r="B8" s="14" t="str">
        <f>A8</f>
        <v>Lafarge</v>
      </c>
      <c r="C8" s="14" t="str">
        <f t="shared" si="0"/>
        <v>Lafarge</v>
      </c>
      <c r="D8" s="43">
        <v>46.92</v>
      </c>
      <c r="E8" s="34">
        <v>2830</v>
      </c>
      <c r="F8" s="43">
        <v>41.06</v>
      </c>
      <c r="G8" s="34">
        <v>2476</v>
      </c>
      <c r="H8" s="43">
        <v>43.12</v>
      </c>
      <c r="I8" s="34">
        <v>2600</v>
      </c>
      <c r="J8" s="43">
        <v>55</v>
      </c>
      <c r="K8" s="34">
        <v>3317</v>
      </c>
      <c r="L8" s="43">
        <v>47.63</v>
      </c>
      <c r="M8" s="34">
        <v>2872</v>
      </c>
      <c r="N8" s="43">
        <v>57.81</v>
      </c>
      <c r="O8" s="34">
        <v>3486.43</v>
      </c>
      <c r="P8" s="17"/>
      <c r="Q8" s="29"/>
      <c r="R8" s="30"/>
      <c r="S8" s="29">
        <v>149.1</v>
      </c>
      <c r="T8" s="30">
        <v>624</v>
      </c>
      <c r="U8" s="29">
        <v>144</v>
      </c>
      <c r="V8" s="30">
        <v>603</v>
      </c>
      <c r="W8" s="31">
        <v>99.6</v>
      </c>
      <c r="X8" s="30">
        <v>417</v>
      </c>
      <c r="Y8" s="32">
        <f>560/AK1</f>
        <v>85.371449652949821</v>
      </c>
      <c r="Z8" s="33">
        <f>14416/AJ1</f>
        <v>357.36330531310193</v>
      </c>
      <c r="AA8" s="32">
        <f>563/AK1</f>
        <v>85.828796704662039</v>
      </c>
      <c r="AB8" s="33">
        <f>14484/AJ1</f>
        <v>359.04898128155992</v>
      </c>
      <c r="AC8" s="32">
        <f>831/AK1</f>
        <v>126.68513332428803</v>
      </c>
      <c r="AD8" s="33">
        <f>19136/AJ1</f>
        <v>474.3690490060709</v>
      </c>
      <c r="AE8" s="32">
        <f>818/AK1</f>
        <v>124.7032961002017</v>
      </c>
      <c r="AF8" s="33">
        <f>16662/AJ1</f>
        <v>413.04019097717151</v>
      </c>
      <c r="AG8" s="29">
        <f>748/AK1</f>
        <v>114.03186489358296</v>
      </c>
      <c r="AH8" s="33">
        <f>15243/AJ1</f>
        <v>377.8640998118488</v>
      </c>
      <c r="AI8" s="14" t="s">
        <v>6</v>
      </c>
    </row>
    <row r="9" spans="1:172" x14ac:dyDescent="0.2">
      <c r="A9" s="1" t="s">
        <v>92</v>
      </c>
      <c r="B9" s="14" t="str">
        <f>A9</f>
        <v>Arkema</v>
      </c>
      <c r="C9" s="14" t="str">
        <f t="shared" si="0"/>
        <v>Arkema</v>
      </c>
      <c r="D9" s="43">
        <v>53.87</v>
      </c>
      <c r="E9" s="45">
        <v>166</v>
      </c>
      <c r="F9" s="46"/>
      <c r="H9" s="46"/>
      <c r="J9" s="46"/>
      <c r="L9" s="46"/>
      <c r="N9" s="46"/>
      <c r="P9" s="17"/>
      <c r="Q9" s="29"/>
      <c r="R9" s="33"/>
      <c r="S9" s="47"/>
      <c r="T9" s="47" t="s">
        <v>16</v>
      </c>
      <c r="U9" s="48"/>
      <c r="V9" s="47" t="s">
        <v>16</v>
      </c>
      <c r="X9" s="47" t="s">
        <v>16</v>
      </c>
      <c r="Y9" s="23"/>
      <c r="Z9" s="47" t="s">
        <v>16</v>
      </c>
      <c r="AA9" s="23"/>
      <c r="AB9" s="47"/>
      <c r="AC9" s="23"/>
      <c r="AD9" s="47"/>
      <c r="AE9" s="23"/>
      <c r="AF9" s="33"/>
      <c r="AG9" s="25"/>
      <c r="AH9" s="33"/>
      <c r="AI9" s="14"/>
    </row>
    <row r="10" spans="1:172" x14ac:dyDescent="0.2">
      <c r="A10" s="14" t="s">
        <v>17</v>
      </c>
      <c r="B10" s="14" t="s">
        <v>18</v>
      </c>
      <c r="C10" s="14" t="s">
        <v>19</v>
      </c>
      <c r="D10" s="15"/>
      <c r="E10" s="16">
        <v>233</v>
      </c>
      <c r="F10" s="15"/>
      <c r="G10" s="16">
        <v>305</v>
      </c>
      <c r="H10" s="15"/>
      <c r="I10" s="16">
        <v>262</v>
      </c>
      <c r="J10" s="15"/>
      <c r="K10" s="16">
        <v>241</v>
      </c>
      <c r="L10" s="15"/>
      <c r="M10" s="16">
        <v>209</v>
      </c>
      <c r="N10" s="15"/>
      <c r="O10" s="16">
        <v>212</v>
      </c>
      <c r="P10" s="17"/>
      <c r="Q10" s="29"/>
      <c r="R10" s="30"/>
      <c r="S10" s="48"/>
      <c r="T10" s="30">
        <v>266</v>
      </c>
      <c r="U10" s="48"/>
      <c r="V10" s="30">
        <v>257</v>
      </c>
      <c r="X10" s="30">
        <f>25+190</f>
        <v>215</v>
      </c>
      <c r="Y10" s="23" t="s">
        <v>3</v>
      </c>
      <c r="Z10" s="33">
        <f>7517/AJ1+1</f>
        <v>187.34156257204407</v>
      </c>
      <c r="AA10" s="23" t="s">
        <v>3</v>
      </c>
      <c r="AB10" s="33">
        <f>10221/AJ1</f>
        <v>253.37197167072799</v>
      </c>
      <c r="AC10" s="23" t="s">
        <v>6</v>
      </c>
      <c r="AD10" s="33">
        <f>13264/AJ1</f>
        <v>328.80597125922475</v>
      </c>
      <c r="AE10" s="23" t="s">
        <v>6</v>
      </c>
      <c r="AF10" s="33">
        <f>15670/AJ1+1</f>
        <v>389.44915331966615</v>
      </c>
      <c r="AG10" s="25" t="s">
        <v>6</v>
      </c>
      <c r="AH10" s="33">
        <f>22978/AJ1</f>
        <v>569.60974122394953</v>
      </c>
      <c r="AI10" s="14" t="s">
        <v>6</v>
      </c>
    </row>
    <row r="11" spans="1:172" s="53" customFormat="1" ht="25.5" x14ac:dyDescent="0.2">
      <c r="A11" s="50" t="s">
        <v>91</v>
      </c>
      <c r="B11" s="50" t="s">
        <v>86</v>
      </c>
      <c r="C11" s="50" t="s">
        <v>87</v>
      </c>
      <c r="D11" s="51"/>
      <c r="E11" s="16">
        <v>509</v>
      </c>
      <c r="F11" s="51"/>
      <c r="G11" s="16">
        <v>376</v>
      </c>
      <c r="H11" s="51"/>
      <c r="I11" s="16">
        <v>373</v>
      </c>
      <c r="J11" s="51"/>
      <c r="K11" s="16">
        <v>114</v>
      </c>
      <c r="L11" s="51"/>
      <c r="M11" s="16">
        <v>541</v>
      </c>
      <c r="N11" s="51"/>
      <c r="O11" s="16">
        <v>568.49</v>
      </c>
      <c r="P11" s="17"/>
      <c r="Q11" s="29"/>
      <c r="R11" s="30"/>
      <c r="S11" s="52"/>
      <c r="T11" s="53">
        <v>392</v>
      </c>
      <c r="U11" s="52"/>
      <c r="V11" s="53">
        <v>414</v>
      </c>
      <c r="W11" s="54"/>
      <c r="X11" s="53">
        <v>527</v>
      </c>
      <c r="Y11" s="55" t="s">
        <v>3</v>
      </c>
      <c r="Z11" s="55">
        <f>24308/AJ1</f>
        <v>602.57958001879035</v>
      </c>
      <c r="AA11" s="55" t="s">
        <v>3</v>
      </c>
      <c r="AB11" s="55">
        <f>22554/AJ1</f>
        <v>559.09905577356415</v>
      </c>
      <c r="AC11" s="55" t="s">
        <v>6</v>
      </c>
      <c r="AD11" s="55">
        <f>29104/AJ1</f>
        <v>721.46931450003592</v>
      </c>
      <c r="AE11" s="55" t="s">
        <v>6</v>
      </c>
      <c r="AF11" s="55">
        <f>48989/AJ1+1</f>
        <v>1215.4055885116225</v>
      </c>
      <c r="AG11" s="50" t="s">
        <v>6</v>
      </c>
      <c r="AH11" s="55">
        <f>37124/AJ1+1</f>
        <v>921.27992136817397</v>
      </c>
      <c r="AI11" s="50" t="s">
        <v>6</v>
      </c>
    </row>
    <row r="12" spans="1:172" s="65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f>SUM(E2:E11)</f>
        <v>14324</v>
      </c>
      <c r="F12" s="57"/>
      <c r="G12" s="58">
        <f>SUM(G2:G11)</f>
        <v>13526</v>
      </c>
      <c r="H12" s="57"/>
      <c r="I12" s="58">
        <f>SUM(I2:I11)</f>
        <v>13126</v>
      </c>
      <c r="J12" s="57"/>
      <c r="K12" s="58">
        <f>SUM(K2:K11)</f>
        <v>14081</v>
      </c>
      <c r="L12" s="57"/>
      <c r="M12" s="58">
        <f>SUM(M2:M11)</f>
        <v>13611</v>
      </c>
      <c r="N12" s="57"/>
      <c r="O12" s="58">
        <v>15232</v>
      </c>
      <c r="P12" s="59"/>
      <c r="Q12" s="60"/>
      <c r="R12" s="19"/>
      <c r="S12" s="61"/>
      <c r="T12" s="19" t="e">
        <f>SUM(T3:T7:#REF!)-#REF!-T4</f>
        <v>#REF!</v>
      </c>
      <c r="U12" s="61"/>
      <c r="V12" s="19" t="e">
        <f>SUM(V3:V7:#REF!)-#REF!-V4</f>
        <v>#REF!</v>
      </c>
      <c r="W12" s="62"/>
      <c r="X12" s="19" t="e">
        <f>SUM(X3:X7:#REF!)-#REF!-X4</f>
        <v>#REF!</v>
      </c>
      <c r="Y12" s="22" t="s">
        <v>3</v>
      </c>
      <c r="Z12" s="19" t="e">
        <f>SUM(Z3:Z7:#REF!)-#REF!-Z4-1</f>
        <v>#REF!</v>
      </c>
      <c r="AA12" s="22" t="s">
        <v>3</v>
      </c>
      <c r="AB12" s="19">
        <f>SUM(AB7:AB11)</f>
        <v>3065.3273805834915</v>
      </c>
      <c r="AC12" s="22" t="s">
        <v>6</v>
      </c>
      <c r="AD12" s="19">
        <f>SUM(AD7:AD11)</f>
        <v>3345.1743807000021</v>
      </c>
      <c r="AE12" s="22" t="s">
        <v>6</v>
      </c>
      <c r="AF12" s="19">
        <f>SUM(AF7:AF11)-2</f>
        <v>3035.7288937255671</v>
      </c>
      <c r="AG12" s="63" t="s">
        <v>6</v>
      </c>
      <c r="AH12" s="19">
        <f>SUM(AH7:AH11)-1</f>
        <v>2563.6156757949329</v>
      </c>
      <c r="AI12" s="64" t="s">
        <v>6</v>
      </c>
      <c r="AJ12" s="65">
        <f>236182/AJ1</f>
        <v>5854.7988467993227</v>
      </c>
      <c r="AK12" s="65">
        <f>214263/AJ1</f>
        <v>5311.4410298488592</v>
      </c>
    </row>
    <row r="13" spans="1:172" s="72" customFormat="1" ht="25.5" customHeight="1" x14ac:dyDescent="0.2">
      <c r="A13" s="66" t="s">
        <v>27</v>
      </c>
      <c r="B13" s="66" t="s">
        <v>137</v>
      </c>
      <c r="C13" s="66" t="s">
        <v>28</v>
      </c>
      <c r="D13" s="67"/>
      <c r="E13" s="68">
        <v>88.77</v>
      </c>
      <c r="F13" s="67"/>
      <c r="G13" s="68">
        <v>83.82</v>
      </c>
      <c r="H13" s="67"/>
      <c r="I13" s="68">
        <v>81.349999999999994</v>
      </c>
      <c r="J13" s="67"/>
      <c r="K13" s="68">
        <v>87.27</v>
      </c>
      <c r="L13" s="67"/>
      <c r="M13" s="68">
        <v>84.35</v>
      </c>
      <c r="N13" s="67"/>
      <c r="O13" s="68">
        <v>94.4</v>
      </c>
      <c r="P13" s="69"/>
      <c r="Q13" s="70"/>
      <c r="R13" s="22"/>
      <c r="S13" s="71"/>
      <c r="T13" s="22">
        <v>289.33</v>
      </c>
      <c r="U13" s="71"/>
      <c r="V13" s="22">
        <v>256.52999999999997</v>
      </c>
      <c r="W13" s="62"/>
      <c r="X13" s="22">
        <v>256.52999999999997</v>
      </c>
      <c r="Y13" s="22" t="s">
        <v>3</v>
      </c>
      <c r="Z13" s="22">
        <v>239.64</v>
      </c>
      <c r="AA13" s="22" t="s">
        <v>3</v>
      </c>
      <c r="AB13" s="22">
        <v>217.47</v>
      </c>
      <c r="AC13" s="22"/>
      <c r="AD13" s="22">
        <v>238.97</v>
      </c>
      <c r="AE13" s="22" t="s">
        <v>6</v>
      </c>
      <c r="AF13" s="22">
        <v>206.87</v>
      </c>
      <c r="AG13" s="63" t="s">
        <v>6</v>
      </c>
      <c r="AH13" s="22">
        <v>178.36</v>
      </c>
      <c r="AI13" s="63" t="s">
        <v>6</v>
      </c>
    </row>
    <row r="14" spans="1:172" s="72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62.93</v>
      </c>
      <c r="F14" s="67"/>
      <c r="G14" s="73">
        <v>63.63</v>
      </c>
      <c r="H14" s="67"/>
      <c r="I14" s="73">
        <v>58.92</v>
      </c>
      <c r="J14" s="67"/>
      <c r="K14" s="73">
        <v>63.72</v>
      </c>
      <c r="L14" s="67"/>
      <c r="M14" s="73">
        <v>64.3</v>
      </c>
      <c r="N14" s="67"/>
      <c r="O14" s="73">
        <v>66.05</v>
      </c>
      <c r="P14" s="66"/>
      <c r="Q14" s="71"/>
      <c r="S14" s="71"/>
      <c r="T14" s="72">
        <v>186.9</v>
      </c>
      <c r="U14" s="71"/>
      <c r="V14" s="72">
        <v>163.9</v>
      </c>
      <c r="W14" s="62"/>
      <c r="X14" s="72">
        <v>167.5</v>
      </c>
      <c r="Y14" s="69" t="s">
        <v>3</v>
      </c>
      <c r="Z14" s="69">
        <v>173.53</v>
      </c>
      <c r="AA14" s="69" t="s">
        <v>3</v>
      </c>
      <c r="AB14" s="69">
        <v>160.63999999999999</v>
      </c>
      <c r="AC14" s="22" t="s">
        <v>6</v>
      </c>
      <c r="AD14" s="22">
        <v>186.17</v>
      </c>
      <c r="AE14" s="22" t="s">
        <v>6</v>
      </c>
      <c r="AF14" s="22">
        <v>160.63999999999999</v>
      </c>
      <c r="AG14" s="63" t="s">
        <v>6</v>
      </c>
      <c r="AH14" s="22">
        <v>132.87</v>
      </c>
      <c r="AI14" s="66" t="s">
        <v>6</v>
      </c>
    </row>
    <row r="15" spans="1:172" s="78" customFormat="1" x14ac:dyDescent="0.2">
      <c r="A15" s="74"/>
      <c r="B15" s="74"/>
      <c r="C15" s="74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4"/>
      <c r="Q15" s="77"/>
      <c r="S15" s="77"/>
      <c r="T15" s="78">
        <v>0.35399999999999998</v>
      </c>
      <c r="U15" s="77"/>
      <c r="V15" s="78">
        <v>0.443</v>
      </c>
      <c r="W15" s="79"/>
      <c r="X15" s="78">
        <v>0.34699999999999998</v>
      </c>
      <c r="Y15" s="80" t="s">
        <v>3</v>
      </c>
      <c r="Z15" s="80">
        <v>0.27600000000000002</v>
      </c>
      <c r="AA15" s="80" t="s">
        <v>3</v>
      </c>
      <c r="AB15" s="80">
        <v>0.26</v>
      </c>
      <c r="AC15" s="80" t="s">
        <v>6</v>
      </c>
      <c r="AD15" s="80">
        <v>0.221</v>
      </c>
      <c r="AE15" s="80" t="s">
        <v>6</v>
      </c>
      <c r="AF15" s="80">
        <v>0.224</v>
      </c>
      <c r="AG15" s="74" t="s">
        <v>6</v>
      </c>
      <c r="AH15" s="80">
        <v>0.255</v>
      </c>
      <c r="AI15" s="74" t="s">
        <v>6</v>
      </c>
    </row>
    <row r="16" spans="1:172" s="65" customFormat="1" x14ac:dyDescent="0.2">
      <c r="A16" s="64" t="s">
        <v>74</v>
      </c>
      <c r="B16" s="64" t="s">
        <v>78</v>
      </c>
      <c r="C16" s="81" t="s">
        <v>77</v>
      </c>
      <c r="D16" s="82"/>
      <c r="E16" s="83">
        <v>161358287</v>
      </c>
      <c r="F16" s="82"/>
      <c r="G16" s="83">
        <v>161358287</v>
      </c>
      <c r="H16" s="84"/>
      <c r="I16" s="83">
        <v>161358287</v>
      </c>
      <c r="J16" s="84"/>
      <c r="K16" s="83">
        <v>161358287</v>
      </c>
      <c r="L16" s="84"/>
      <c r="M16" s="83">
        <v>161358287</v>
      </c>
      <c r="N16" s="82"/>
      <c r="O16" s="83">
        <v>161358287</v>
      </c>
      <c r="P16" s="59"/>
      <c r="Q16" s="60"/>
      <c r="R16" s="19"/>
      <c r="S16" s="61"/>
      <c r="T16" s="19">
        <v>24432025</v>
      </c>
      <c r="U16" s="61"/>
      <c r="V16" s="19">
        <v>24432025</v>
      </c>
      <c r="W16" s="62"/>
      <c r="X16" s="19">
        <v>24432025</v>
      </c>
      <c r="Y16" s="22" t="s">
        <v>3</v>
      </c>
      <c r="Z16" s="19">
        <v>24432025</v>
      </c>
      <c r="AA16" s="22" t="s">
        <v>3</v>
      </c>
      <c r="AB16" s="19">
        <v>24458667</v>
      </c>
      <c r="AC16" s="22" t="s">
        <v>6</v>
      </c>
      <c r="AD16" s="19">
        <v>24402157</v>
      </c>
      <c r="AE16" s="22" t="s">
        <v>6</v>
      </c>
      <c r="AF16" s="19">
        <v>25783578</v>
      </c>
      <c r="AG16" s="63" t="s">
        <v>6</v>
      </c>
      <c r="AH16" s="19">
        <v>25783578</v>
      </c>
      <c r="AI16" s="64" t="s">
        <v>6</v>
      </c>
    </row>
    <row r="17" spans="2:30" x14ac:dyDescent="0.2">
      <c r="Q17" s="31"/>
    </row>
    <row r="18" spans="2:30" ht="12.75" customHeight="1" x14ac:dyDescent="0.2">
      <c r="B18" s="88"/>
      <c r="C18" s="89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2"/>
      <c r="Q18" s="88"/>
      <c r="R18" s="93"/>
      <c r="S18" s="26"/>
      <c r="T18" s="23"/>
      <c r="U18" s="14"/>
      <c r="V18" s="23"/>
      <c r="W18" s="47"/>
      <c r="X18" s="47"/>
      <c r="Y18" s="47"/>
      <c r="Z18" s="47"/>
      <c r="AA18" s="47"/>
      <c r="AB18" s="47"/>
      <c r="AC18" s="47"/>
      <c r="AD18" s="14"/>
    </row>
    <row r="19" spans="2:30" x14ac:dyDescent="0.2">
      <c r="D19" s="94"/>
      <c r="F19" s="94"/>
      <c r="H19" s="94"/>
      <c r="J19" s="94"/>
      <c r="L19" s="94"/>
      <c r="N19" s="94"/>
      <c r="Q19" s="31"/>
      <c r="U19" s="49"/>
      <c r="Y19" s="87"/>
      <c r="AA19" s="26"/>
    </row>
    <row r="20" spans="2:30" x14ac:dyDescent="0.2">
      <c r="D20" s="94"/>
      <c r="F20" s="94"/>
      <c r="H20" s="94"/>
      <c r="J20" s="94"/>
      <c r="L20" s="94"/>
      <c r="N20" s="94"/>
      <c r="Q20" s="31"/>
      <c r="U20" s="49"/>
      <c r="Y20" s="87"/>
      <c r="AA20" s="26"/>
    </row>
    <row r="21" spans="2:30" x14ac:dyDescent="0.2">
      <c r="D21" s="94"/>
      <c r="F21" s="94"/>
      <c r="H21" s="94"/>
      <c r="J21" s="94"/>
      <c r="L21" s="94"/>
      <c r="N21" s="94"/>
      <c r="Q21" s="31"/>
      <c r="U21" s="49"/>
      <c r="Y21" s="87"/>
      <c r="AA21" s="26"/>
    </row>
    <row r="22" spans="2:30" x14ac:dyDescent="0.2">
      <c r="D22" s="94"/>
      <c r="F22" s="94"/>
      <c r="H22" s="94"/>
      <c r="J22" s="94"/>
      <c r="L22" s="94"/>
      <c r="N22" s="94"/>
      <c r="Q22" s="31"/>
      <c r="U22" s="49"/>
      <c r="Y22" s="87"/>
      <c r="AA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FP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1.5703125" style="85" customWidth="1"/>
    <col min="5" max="5" width="12.42578125" style="45" customWidth="1"/>
    <col min="6" max="6" width="11.5703125" style="85" customWidth="1"/>
    <col min="7" max="7" width="12.42578125" style="45" customWidth="1"/>
    <col min="8" max="8" width="11.5703125" style="85" customWidth="1"/>
    <col min="9" max="9" width="12.42578125" style="45" customWidth="1"/>
    <col min="10" max="10" width="11.5703125" style="85" customWidth="1"/>
    <col min="11" max="11" width="12.42578125" style="45" customWidth="1"/>
    <col min="12" max="12" width="11.5703125" style="85" customWidth="1"/>
    <col min="13" max="13" width="12.42578125" style="45" customWidth="1"/>
    <col min="14" max="14" width="11.5703125" style="85" customWidth="1"/>
    <col min="15" max="15" width="12.42578125" style="45" customWidth="1"/>
    <col min="16" max="16" width="12.42578125" style="26" customWidth="1"/>
    <col min="17" max="17" width="11.42578125" style="86" customWidth="1"/>
    <col min="18" max="18" width="11.42578125" style="26" customWidth="1"/>
    <col min="19" max="19" width="9.140625" style="86" hidden="1" customWidth="1"/>
    <col min="20" max="20" width="9.140625" style="26" hidden="1" customWidth="1"/>
    <col min="21" max="21" width="9.140625" style="86" hidden="1" customWidth="1"/>
    <col min="22" max="22" width="9.140625" style="26" hidden="1" customWidth="1"/>
    <col min="23" max="23" width="11.5703125" style="49" hidden="1" customWidth="1"/>
    <col min="24" max="24" width="9.140625" style="26" hidden="1" customWidth="1"/>
    <col min="25" max="25" width="9.140625" style="49" hidden="1" customWidth="1"/>
    <col min="26" max="26" width="9.140625" style="26" hidden="1" customWidth="1"/>
    <col min="27" max="27" width="11.5703125" style="87" hidden="1" customWidth="1"/>
    <col min="28" max="30" width="9.140625" style="26" hidden="1" customWidth="1"/>
    <col min="31" max="34" width="11.42578125" style="26" hidden="1" customWidth="1"/>
    <col min="35" max="35" width="11.42578125" style="26" customWidth="1"/>
    <col min="36" max="37" width="9.140625" style="26" hidden="1" customWidth="1"/>
    <col min="38" max="16384" width="11.42578125" style="26"/>
  </cols>
  <sheetData>
    <row r="1" spans="1:172" s="13" customFormat="1" x14ac:dyDescent="0.2">
      <c r="A1" s="2" t="s">
        <v>0</v>
      </c>
      <c r="B1" s="2" t="s">
        <v>1</v>
      </c>
      <c r="C1" s="2" t="s">
        <v>2</v>
      </c>
      <c r="D1" s="3"/>
      <c r="E1" s="4">
        <v>40908</v>
      </c>
      <c r="F1" s="3"/>
      <c r="G1" s="4">
        <v>40844</v>
      </c>
      <c r="H1" s="3"/>
      <c r="I1" s="4">
        <v>40746</v>
      </c>
      <c r="J1" s="3"/>
      <c r="K1" s="4">
        <v>40662</v>
      </c>
      <c r="L1" s="3"/>
      <c r="M1" s="4">
        <v>40599</v>
      </c>
      <c r="N1" s="3"/>
      <c r="O1" s="4">
        <v>40543</v>
      </c>
      <c r="P1" s="5"/>
      <c r="Q1" s="6"/>
      <c r="R1" s="5"/>
      <c r="S1" s="7"/>
      <c r="T1" s="8">
        <v>36420</v>
      </c>
      <c r="U1" s="7"/>
      <c r="V1" s="8">
        <v>36341</v>
      </c>
      <c r="W1" s="8"/>
      <c r="X1" s="8">
        <v>36231</v>
      </c>
      <c r="Y1" s="8"/>
      <c r="Z1" s="8">
        <v>36160</v>
      </c>
      <c r="AA1" s="9"/>
      <c r="AB1" s="8">
        <v>36052</v>
      </c>
      <c r="AC1" s="10" t="s">
        <v>3</v>
      </c>
      <c r="AD1" s="11">
        <v>35976</v>
      </c>
      <c r="AE1" s="10" t="s">
        <v>3</v>
      </c>
      <c r="AF1" s="11">
        <v>35884</v>
      </c>
      <c r="AG1" s="12" t="s">
        <v>3</v>
      </c>
      <c r="AH1" s="11">
        <v>35795</v>
      </c>
      <c r="AJ1" s="13">
        <v>40.3399</v>
      </c>
      <c r="AK1" s="13">
        <v>6.5595699999999999</v>
      </c>
    </row>
    <row r="2" spans="1:172" x14ac:dyDescent="0.2">
      <c r="A2" s="14" t="s">
        <v>88</v>
      </c>
      <c r="B2" s="14" t="str">
        <f>A2</f>
        <v>Iberdrola</v>
      </c>
      <c r="C2" s="14" t="str">
        <f t="shared" ref="C2:C9" si="0">A2</f>
        <v>Iberdrola</v>
      </c>
      <c r="D2" s="15">
        <v>4.84</v>
      </c>
      <c r="E2" s="16">
        <v>69</v>
      </c>
      <c r="F2" s="15"/>
      <c r="G2" s="16"/>
      <c r="H2" s="15">
        <v>5.92</v>
      </c>
      <c r="I2" s="16">
        <v>186</v>
      </c>
      <c r="J2" s="15">
        <v>6.27</v>
      </c>
      <c r="K2" s="16">
        <v>197</v>
      </c>
      <c r="L2" s="15">
        <v>6.29</v>
      </c>
      <c r="M2" s="16">
        <v>198</v>
      </c>
      <c r="N2" s="15">
        <v>5.77</v>
      </c>
      <c r="O2" s="16">
        <v>181</v>
      </c>
      <c r="P2" s="17"/>
      <c r="Q2" s="18"/>
      <c r="R2" s="19"/>
      <c r="S2" s="20"/>
      <c r="T2" s="21"/>
      <c r="U2" s="20"/>
      <c r="V2" s="21"/>
      <c r="W2" s="21"/>
      <c r="X2" s="21"/>
      <c r="Y2" s="21"/>
      <c r="Z2" s="21"/>
      <c r="AA2" s="22"/>
      <c r="AB2" s="21"/>
      <c r="AC2" s="23"/>
      <c r="AD2" s="24"/>
      <c r="AE2" s="23"/>
      <c r="AF2" s="24"/>
      <c r="AG2" s="25"/>
      <c r="AH2" s="24"/>
    </row>
    <row r="3" spans="1:172" x14ac:dyDescent="0.2">
      <c r="A3" s="14" t="s">
        <v>82</v>
      </c>
      <c r="B3" s="14" t="str">
        <f>A3</f>
        <v>Pernod Ricard</v>
      </c>
      <c r="C3" s="14" t="str">
        <f t="shared" si="0"/>
        <v>Pernod Ricard</v>
      </c>
      <c r="D3" s="15">
        <v>71.66</v>
      </c>
      <c r="E3" s="27">
        <v>1870</v>
      </c>
      <c r="F3" s="15">
        <v>68.98</v>
      </c>
      <c r="G3" s="27">
        <v>1800</v>
      </c>
      <c r="H3" s="15">
        <v>69.67</v>
      </c>
      <c r="I3" s="27">
        <v>1818</v>
      </c>
      <c r="J3" s="15">
        <v>67.86</v>
      </c>
      <c r="K3" s="27">
        <v>1771</v>
      </c>
      <c r="L3" s="15">
        <v>66.77</v>
      </c>
      <c r="M3" s="27">
        <v>1742</v>
      </c>
      <c r="N3" s="15">
        <v>70.36</v>
      </c>
      <c r="O3" s="27">
        <v>1836</v>
      </c>
      <c r="P3" s="28"/>
      <c r="Q3" s="29"/>
      <c r="R3" s="30"/>
      <c r="S3" s="29">
        <v>48.35</v>
      </c>
      <c r="T3" s="30">
        <v>1302</v>
      </c>
      <c r="U3" s="29">
        <v>46.55</v>
      </c>
      <c r="V3" s="30">
        <v>1242</v>
      </c>
      <c r="W3" s="31">
        <v>37.450000000000003</v>
      </c>
      <c r="X3" s="30">
        <v>991</v>
      </c>
      <c r="Y3" s="32">
        <f>1550/AJ1</f>
        <v>38.423496339852107</v>
      </c>
      <c r="Z3" s="33">
        <f>40072/AJ1</f>
        <v>993.35893247132492</v>
      </c>
      <c r="AA3" s="32">
        <f>1498/AJ1</f>
        <v>37.134450011031262</v>
      </c>
      <c r="AB3" s="33">
        <f>38499/AJ1</f>
        <v>954.36528102449438</v>
      </c>
      <c r="AC3" s="32">
        <f>1520/AJ1</f>
        <v>37.679815765532389</v>
      </c>
      <c r="AD3" s="33">
        <f>38837/AJ1</f>
        <v>962.74408216182985</v>
      </c>
      <c r="AE3" s="32">
        <f>1510/AJ1</f>
        <v>37.43192224075915</v>
      </c>
      <c r="AF3" s="33">
        <f>26966/AJ1</f>
        <v>668.46967890351732</v>
      </c>
      <c r="AG3" s="29">
        <f>1510/AJ1</f>
        <v>37.43192224075915</v>
      </c>
      <c r="AH3" s="33">
        <f>25184/AJ1</f>
        <v>624.29505278892611</v>
      </c>
      <c r="AI3" s="1" t="s">
        <v>6</v>
      </c>
    </row>
    <row r="4" spans="1:172" s="42" customFormat="1" x14ac:dyDescent="0.2">
      <c r="A4" s="14" t="s">
        <v>89</v>
      </c>
      <c r="B4" s="14" t="s">
        <v>89</v>
      </c>
      <c r="C4" s="14" t="str">
        <f t="shared" si="0"/>
        <v>GDF SUEZ</v>
      </c>
      <c r="D4" s="15">
        <v>21.12</v>
      </c>
      <c r="E4" s="34">
        <v>2475</v>
      </c>
      <c r="F4" s="15">
        <v>21.76</v>
      </c>
      <c r="G4" s="34">
        <v>2550</v>
      </c>
      <c r="H4" s="15">
        <v>23.94</v>
      </c>
      <c r="I4" s="34">
        <v>2805</v>
      </c>
      <c r="J4" s="15">
        <v>27.63</v>
      </c>
      <c r="K4" s="34">
        <v>3237</v>
      </c>
      <c r="L4" s="15">
        <v>29.07</v>
      </c>
      <c r="M4" s="34">
        <v>3406</v>
      </c>
      <c r="N4" s="15">
        <v>26.85</v>
      </c>
      <c r="O4" s="34">
        <v>3146</v>
      </c>
      <c r="P4" s="35"/>
      <c r="Q4" s="36"/>
      <c r="R4" s="37"/>
      <c r="S4" s="38"/>
      <c r="T4" s="39"/>
      <c r="U4" s="38"/>
      <c r="V4" s="39"/>
      <c r="W4" s="40"/>
      <c r="X4" s="39"/>
      <c r="Y4" s="38"/>
      <c r="Z4" s="41"/>
      <c r="AA4" s="38"/>
      <c r="AB4" s="41"/>
      <c r="AC4" s="38"/>
      <c r="AD4" s="41"/>
      <c r="AE4" s="38"/>
      <c r="AF4" s="41"/>
      <c r="AG4" s="38"/>
      <c r="AH4" s="41"/>
      <c r="AI4" s="41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</row>
    <row r="5" spans="1:172" s="42" customFormat="1" x14ac:dyDescent="0.2">
      <c r="A5" s="14" t="s">
        <v>90</v>
      </c>
      <c r="B5" s="14" t="s">
        <v>90</v>
      </c>
      <c r="C5" s="14" t="str">
        <f t="shared" si="0"/>
        <v>Suez Environnement</v>
      </c>
      <c r="D5" s="15">
        <v>8.9</v>
      </c>
      <c r="E5" s="34">
        <v>311</v>
      </c>
      <c r="F5" s="15">
        <v>11.6</v>
      </c>
      <c r="G5" s="34">
        <v>406</v>
      </c>
      <c r="H5" s="15">
        <v>13.37</v>
      </c>
      <c r="I5" s="34">
        <v>468</v>
      </c>
      <c r="J5" s="15">
        <v>15.56</v>
      </c>
      <c r="K5" s="34">
        <v>545</v>
      </c>
      <c r="L5" s="15">
        <v>15.65</v>
      </c>
      <c r="M5" s="34">
        <v>548</v>
      </c>
      <c r="N5" s="15">
        <v>15.45</v>
      </c>
      <c r="O5" s="34">
        <v>541</v>
      </c>
      <c r="P5" s="35"/>
      <c r="Q5" s="36"/>
      <c r="R5" s="37"/>
      <c r="S5" s="38"/>
      <c r="T5" s="39"/>
      <c r="U5" s="38"/>
      <c r="V5" s="39"/>
      <c r="W5" s="40"/>
      <c r="X5" s="39"/>
      <c r="Y5" s="38"/>
      <c r="Z5" s="41"/>
      <c r="AA5" s="38"/>
      <c r="AB5" s="41"/>
      <c r="AC5" s="38"/>
      <c r="AD5" s="41"/>
      <c r="AE5" s="38"/>
      <c r="AF5" s="41"/>
      <c r="AG5" s="38"/>
      <c r="AH5" s="41"/>
      <c r="AI5" s="41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</row>
    <row r="6" spans="1:172" x14ac:dyDescent="0.2">
      <c r="A6" s="14" t="s">
        <v>79</v>
      </c>
      <c r="B6" s="14" t="str">
        <f>A6</f>
        <v>Total</v>
      </c>
      <c r="C6" s="14" t="str">
        <f t="shared" si="0"/>
        <v>Total</v>
      </c>
      <c r="D6" s="43">
        <v>39.5</v>
      </c>
      <c r="E6" s="16">
        <v>3711</v>
      </c>
      <c r="F6" s="43">
        <v>38.369999999999997</v>
      </c>
      <c r="G6" s="16">
        <v>3605</v>
      </c>
      <c r="H6" s="43">
        <v>39.46</v>
      </c>
      <c r="I6" s="16">
        <v>3706</v>
      </c>
      <c r="J6" s="43">
        <v>43.22</v>
      </c>
      <c r="K6" s="16">
        <v>4060</v>
      </c>
      <c r="L6" s="43">
        <v>43.78</v>
      </c>
      <c r="M6" s="16">
        <v>4113</v>
      </c>
      <c r="N6" s="43">
        <v>39.65</v>
      </c>
      <c r="O6" s="16">
        <v>3725</v>
      </c>
      <c r="P6" s="17"/>
      <c r="Q6" s="29"/>
      <c r="R6" s="30"/>
      <c r="S6" s="29">
        <v>120.9</v>
      </c>
      <c r="T6" s="30">
        <v>2351</v>
      </c>
      <c r="U6" s="29">
        <v>125.1</v>
      </c>
      <c r="V6" s="30">
        <v>2399</v>
      </c>
      <c r="W6" s="44">
        <f>460.3/4.5</f>
        <v>102.28888888888889</v>
      </c>
      <c r="X6" s="30">
        <v>1921</v>
      </c>
      <c r="Y6" s="32">
        <v>86.76</v>
      </c>
      <c r="Z6" s="33">
        <v>1590</v>
      </c>
      <c r="AA6" s="32" t="e">
        <f>12875/(#REF!*4.5)</f>
        <v>#REF!</v>
      </c>
      <c r="AB6" s="33" t="e">
        <f>52109/#REF!</f>
        <v>#REF!</v>
      </c>
      <c r="AC6" s="32" t="e">
        <f>15275/(#REF!*4.5)</f>
        <v>#REF!</v>
      </c>
      <c r="AD6" s="33" t="e">
        <f>61445/#REF!</f>
        <v>#REF!</v>
      </c>
      <c r="AE6" s="32" t="e">
        <f>13950/#REF!</f>
        <v>#REF!</v>
      </c>
      <c r="AF6" s="33" t="e">
        <f>38455/#REF!</f>
        <v>#REF!</v>
      </c>
      <c r="AG6" s="29" t="e">
        <f>13675/#REF!</f>
        <v>#REF!</v>
      </c>
      <c r="AH6" s="33" t="e">
        <f>35072/#REF!</f>
        <v>#REF!</v>
      </c>
      <c r="AI6" s="14" t="s">
        <v>6</v>
      </c>
    </row>
    <row r="7" spans="1:172" x14ac:dyDescent="0.2">
      <c r="A7" s="14" t="s">
        <v>84</v>
      </c>
      <c r="B7" s="14" t="str">
        <f>A7</f>
        <v xml:space="preserve">Imerys </v>
      </c>
      <c r="C7" s="14" t="str">
        <f t="shared" si="0"/>
        <v xml:space="preserve">Imerys </v>
      </c>
      <c r="D7" s="43">
        <v>35.590000000000003</v>
      </c>
      <c r="E7" s="16">
        <v>1525</v>
      </c>
      <c r="F7" s="43">
        <v>42.23</v>
      </c>
      <c r="G7" s="16">
        <v>1809</v>
      </c>
      <c r="H7" s="43">
        <v>47.15</v>
      </c>
      <c r="I7" s="16">
        <v>2006</v>
      </c>
      <c r="J7" s="43">
        <v>52.31</v>
      </c>
      <c r="K7" s="16">
        <v>2226</v>
      </c>
      <c r="L7" s="43">
        <v>50.43</v>
      </c>
      <c r="M7" s="16">
        <v>1170</v>
      </c>
      <c r="N7" s="43">
        <v>49.89</v>
      </c>
      <c r="O7" s="16">
        <v>1157</v>
      </c>
      <c r="P7" s="17"/>
      <c r="Q7" s="29"/>
      <c r="R7" s="33"/>
      <c r="S7" s="29">
        <v>159.9</v>
      </c>
      <c r="T7" s="33">
        <v>2134</v>
      </c>
      <c r="U7" s="29">
        <v>174.9</v>
      </c>
      <c r="V7" s="33">
        <v>2278</v>
      </c>
      <c r="W7" s="32">
        <v>173.2</v>
      </c>
      <c r="X7" s="33">
        <v>2197</v>
      </c>
      <c r="Y7" s="32">
        <f>1148/AK1</f>
        <v>175.01147178854711</v>
      </c>
      <c r="Z7" s="33">
        <f>85728/AJ1</f>
        <v>2125.1416091760266</v>
      </c>
      <c r="AA7" s="32">
        <f>1029/AK1</f>
        <v>156.87003873729529</v>
      </c>
      <c r="AB7" s="33">
        <f>76396/AJ1</f>
        <v>1893.8073718576397</v>
      </c>
      <c r="AC7" s="32">
        <f>995/AK1</f>
        <v>151.68677215122332</v>
      </c>
      <c r="AD7" s="33">
        <f>73440/AJ1</f>
        <v>1820.5300459346702</v>
      </c>
      <c r="AE7" s="32">
        <f>889/AK1</f>
        <v>135.52717632405782</v>
      </c>
      <c r="AF7" s="33">
        <f>41140/AJ1</f>
        <v>1019.8339609171069</v>
      </c>
      <c r="AG7" s="29">
        <f>666/AK1</f>
        <v>101.53104548011531</v>
      </c>
      <c r="AH7" s="33">
        <f>28071/AJ1</f>
        <v>695.86191339096035</v>
      </c>
      <c r="AI7" s="14" t="s">
        <v>6</v>
      </c>
    </row>
    <row r="8" spans="1:172" x14ac:dyDescent="0.2">
      <c r="A8" s="1" t="s">
        <v>81</v>
      </c>
      <c r="B8" s="14" t="str">
        <f>A8</f>
        <v>Lafarge</v>
      </c>
      <c r="C8" s="14" t="str">
        <f t="shared" si="0"/>
        <v>Lafarge</v>
      </c>
      <c r="D8" s="43">
        <v>27.16</v>
      </c>
      <c r="E8" s="34">
        <v>1638</v>
      </c>
      <c r="F8" s="43">
        <v>30.61</v>
      </c>
      <c r="G8" s="34">
        <v>1846</v>
      </c>
      <c r="H8" s="43">
        <v>40.119999999999997</v>
      </c>
      <c r="I8" s="34">
        <v>2420</v>
      </c>
      <c r="J8" s="43">
        <v>47.78</v>
      </c>
      <c r="K8" s="34">
        <v>2881</v>
      </c>
      <c r="L8" s="43">
        <v>44.17</v>
      </c>
      <c r="M8" s="34">
        <v>2664</v>
      </c>
      <c r="N8" s="43">
        <v>46.92</v>
      </c>
      <c r="O8" s="34">
        <v>2830</v>
      </c>
      <c r="P8" s="17"/>
      <c r="Q8" s="29"/>
      <c r="R8" s="30"/>
      <c r="S8" s="29">
        <v>149.1</v>
      </c>
      <c r="T8" s="30">
        <v>624</v>
      </c>
      <c r="U8" s="29">
        <v>144</v>
      </c>
      <c r="V8" s="30">
        <v>603</v>
      </c>
      <c r="W8" s="31">
        <v>99.6</v>
      </c>
      <c r="X8" s="30">
        <v>417</v>
      </c>
      <c r="Y8" s="32">
        <f>560/AK1</f>
        <v>85.371449652949821</v>
      </c>
      <c r="Z8" s="33">
        <f>14416/AJ1</f>
        <v>357.36330531310193</v>
      </c>
      <c r="AA8" s="32">
        <f>563/AK1</f>
        <v>85.828796704662039</v>
      </c>
      <c r="AB8" s="33">
        <f>14484/AJ1</f>
        <v>359.04898128155992</v>
      </c>
      <c r="AC8" s="32">
        <f>831/AK1</f>
        <v>126.68513332428803</v>
      </c>
      <c r="AD8" s="33">
        <f>19136/AJ1</f>
        <v>474.3690490060709</v>
      </c>
      <c r="AE8" s="32">
        <f>818/AK1</f>
        <v>124.7032961002017</v>
      </c>
      <c r="AF8" s="33">
        <f>16662/AJ1</f>
        <v>413.04019097717151</v>
      </c>
      <c r="AG8" s="29">
        <f>748/AK1</f>
        <v>114.03186489358296</v>
      </c>
      <c r="AH8" s="33">
        <f>15243/AJ1</f>
        <v>377.8640998118488</v>
      </c>
      <c r="AI8" s="14" t="s">
        <v>6</v>
      </c>
    </row>
    <row r="9" spans="1:172" x14ac:dyDescent="0.2">
      <c r="A9" s="1" t="s">
        <v>92</v>
      </c>
      <c r="B9" s="14" t="str">
        <f>A9</f>
        <v>Arkema</v>
      </c>
      <c r="C9" s="14" t="str">
        <f t="shared" si="0"/>
        <v>Arkema</v>
      </c>
      <c r="D9" s="43">
        <v>54.7</v>
      </c>
      <c r="E9" s="45">
        <v>339</v>
      </c>
      <c r="F9" s="43">
        <v>50.95</v>
      </c>
      <c r="G9" s="45">
        <v>314</v>
      </c>
      <c r="H9" s="43">
        <v>70.59</v>
      </c>
      <c r="I9" s="45">
        <v>266</v>
      </c>
      <c r="J9" s="43">
        <v>70.349999999999994</v>
      </c>
      <c r="K9" s="45">
        <v>265</v>
      </c>
      <c r="L9" s="43">
        <v>51.86</v>
      </c>
      <c r="M9" s="45">
        <v>189</v>
      </c>
      <c r="N9" s="43">
        <v>53.87</v>
      </c>
      <c r="O9" s="45">
        <v>166</v>
      </c>
      <c r="P9" s="17"/>
      <c r="Q9" s="29"/>
      <c r="R9" s="33"/>
      <c r="S9" s="47"/>
      <c r="T9" s="47" t="s">
        <v>16</v>
      </c>
      <c r="U9" s="48"/>
      <c r="V9" s="47" t="s">
        <v>16</v>
      </c>
      <c r="X9" s="47" t="s">
        <v>16</v>
      </c>
      <c r="Y9" s="23"/>
      <c r="Z9" s="47" t="s">
        <v>16</v>
      </c>
      <c r="AA9" s="23"/>
      <c r="AB9" s="47"/>
      <c r="AC9" s="23"/>
      <c r="AD9" s="47"/>
      <c r="AE9" s="23"/>
      <c r="AF9" s="33"/>
      <c r="AG9" s="25"/>
      <c r="AH9" s="33"/>
      <c r="AI9" s="14"/>
    </row>
    <row r="10" spans="1:172" x14ac:dyDescent="0.2">
      <c r="A10" s="14" t="s">
        <v>17</v>
      </c>
      <c r="B10" s="14" t="s">
        <v>18</v>
      </c>
      <c r="C10" s="14" t="s">
        <v>19</v>
      </c>
      <c r="D10" s="15"/>
      <c r="E10" s="16">
        <v>317</v>
      </c>
      <c r="F10" s="15"/>
      <c r="G10" s="16">
        <v>400</v>
      </c>
      <c r="H10" s="15"/>
      <c r="I10" s="16">
        <v>265</v>
      </c>
      <c r="J10" s="15"/>
      <c r="K10" s="16">
        <v>270</v>
      </c>
      <c r="L10" s="15"/>
      <c r="M10" s="16">
        <v>231</v>
      </c>
      <c r="N10" s="15"/>
      <c r="O10" s="16">
        <v>233</v>
      </c>
      <c r="P10" s="17"/>
      <c r="Q10" s="29"/>
      <c r="R10" s="30"/>
      <c r="S10" s="48"/>
      <c r="T10" s="30">
        <v>266</v>
      </c>
      <c r="U10" s="48"/>
      <c r="V10" s="30">
        <v>257</v>
      </c>
      <c r="X10" s="30">
        <f>25+190</f>
        <v>215</v>
      </c>
      <c r="Y10" s="23" t="s">
        <v>3</v>
      </c>
      <c r="Z10" s="33">
        <f>7517/AJ1+1</f>
        <v>187.34156257204407</v>
      </c>
      <c r="AA10" s="23" t="s">
        <v>3</v>
      </c>
      <c r="AB10" s="33">
        <f>10221/AJ1</f>
        <v>253.37197167072799</v>
      </c>
      <c r="AC10" s="23" t="s">
        <v>6</v>
      </c>
      <c r="AD10" s="33">
        <f>13264/AJ1</f>
        <v>328.80597125922475</v>
      </c>
      <c r="AE10" s="23" t="s">
        <v>6</v>
      </c>
      <c r="AF10" s="33">
        <f>15670/AJ1+1</f>
        <v>389.44915331966615</v>
      </c>
      <c r="AG10" s="25" t="s">
        <v>6</v>
      </c>
      <c r="AH10" s="33">
        <f>22978/AJ1</f>
        <v>569.60974122394953</v>
      </c>
      <c r="AI10" s="14" t="s">
        <v>6</v>
      </c>
    </row>
    <row r="11" spans="1:172" s="53" customFormat="1" ht="25.5" x14ac:dyDescent="0.2">
      <c r="A11" s="50" t="s">
        <v>91</v>
      </c>
      <c r="B11" s="50" t="s">
        <v>86</v>
      </c>
      <c r="C11" s="50" t="s">
        <v>87</v>
      </c>
      <c r="D11" s="51"/>
      <c r="E11" s="16">
        <v>-694</v>
      </c>
      <c r="F11" s="51"/>
      <c r="G11" s="16">
        <v>-805</v>
      </c>
      <c r="H11" s="51"/>
      <c r="I11" s="16">
        <v>-728</v>
      </c>
      <c r="J11" s="51"/>
      <c r="K11" s="16">
        <v>-1055</v>
      </c>
      <c r="L11" s="51"/>
      <c r="M11" s="16">
        <v>481</v>
      </c>
      <c r="N11" s="51"/>
      <c r="O11" s="16">
        <v>509</v>
      </c>
      <c r="P11" s="17"/>
      <c r="Q11" s="29"/>
      <c r="R11" s="30"/>
      <c r="S11" s="52"/>
      <c r="T11" s="53">
        <v>392</v>
      </c>
      <c r="U11" s="52"/>
      <c r="V11" s="53">
        <v>414</v>
      </c>
      <c r="W11" s="54"/>
      <c r="X11" s="53">
        <v>527</v>
      </c>
      <c r="Y11" s="55" t="s">
        <v>3</v>
      </c>
      <c r="Z11" s="55">
        <f>24308/AJ1</f>
        <v>602.57958001879035</v>
      </c>
      <c r="AA11" s="55" t="s">
        <v>3</v>
      </c>
      <c r="AB11" s="55">
        <f>22554/AJ1</f>
        <v>559.09905577356415</v>
      </c>
      <c r="AC11" s="55" t="s">
        <v>6</v>
      </c>
      <c r="AD11" s="55">
        <f>29104/AJ1</f>
        <v>721.46931450003592</v>
      </c>
      <c r="AE11" s="55" t="s">
        <v>6</v>
      </c>
      <c r="AF11" s="55">
        <f>48989/AJ1+1</f>
        <v>1215.4055885116225</v>
      </c>
      <c r="AG11" s="50" t="s">
        <v>6</v>
      </c>
      <c r="AH11" s="55">
        <f>37124/AJ1+1</f>
        <v>921.27992136817397</v>
      </c>
      <c r="AI11" s="50" t="s">
        <v>6</v>
      </c>
    </row>
    <row r="12" spans="1:172" s="129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f>SUM(E2:E11)</f>
        <v>11561</v>
      </c>
      <c r="F12" s="57"/>
      <c r="G12" s="58">
        <f>SUM(G2:G11)</f>
        <v>11925</v>
      </c>
      <c r="H12" s="57"/>
      <c r="I12" s="58">
        <f>SUM(I2:I11)</f>
        <v>13212</v>
      </c>
      <c r="J12" s="57"/>
      <c r="K12" s="58">
        <f>SUM(K2:K11)</f>
        <v>14397</v>
      </c>
      <c r="L12" s="57"/>
      <c r="M12" s="58">
        <f>SUM(M2:M11)</f>
        <v>14742</v>
      </c>
      <c r="N12" s="57"/>
      <c r="O12" s="58">
        <f>SUM(O2:O11)</f>
        <v>14324</v>
      </c>
      <c r="P12" s="122"/>
      <c r="Q12" s="123"/>
      <c r="R12" s="124"/>
      <c r="S12" s="125"/>
      <c r="T12" s="124" t="e">
        <f>SUM(T3:T7:#REF!)-#REF!-T4</f>
        <v>#REF!</v>
      </c>
      <c r="U12" s="125"/>
      <c r="V12" s="124" t="e">
        <f>SUM(V3:V7:#REF!)-#REF!-V4</f>
        <v>#REF!</v>
      </c>
      <c r="W12" s="126"/>
      <c r="X12" s="124" t="e">
        <f>SUM(X3:X7:#REF!)-#REF!-X4</f>
        <v>#REF!</v>
      </c>
      <c r="Y12" s="127" t="s">
        <v>3</v>
      </c>
      <c r="Z12" s="124" t="e">
        <f>SUM(Z3:Z7:#REF!)-#REF!-Z4-1</f>
        <v>#REF!</v>
      </c>
      <c r="AA12" s="127" t="s">
        <v>3</v>
      </c>
      <c r="AB12" s="124">
        <f>SUM(AB7:AB11)</f>
        <v>3065.3273805834915</v>
      </c>
      <c r="AC12" s="127" t="s">
        <v>6</v>
      </c>
      <c r="AD12" s="124">
        <f>SUM(AD7:AD11)</f>
        <v>3345.1743807000021</v>
      </c>
      <c r="AE12" s="127" t="s">
        <v>6</v>
      </c>
      <c r="AF12" s="124">
        <f>SUM(AF7:AF11)-2</f>
        <v>3035.7288937255671</v>
      </c>
      <c r="AG12" s="128" t="s">
        <v>6</v>
      </c>
      <c r="AH12" s="124">
        <f>SUM(AH7:AH11)-1</f>
        <v>2563.6156757949329</v>
      </c>
      <c r="AI12" s="56" t="s">
        <v>6</v>
      </c>
      <c r="AJ12" s="129">
        <f>236182/AJ1</f>
        <v>5854.7988467993227</v>
      </c>
      <c r="AK12" s="129">
        <f>214263/AJ1</f>
        <v>5311.4410298488592</v>
      </c>
    </row>
    <row r="13" spans="1:172" s="72" customFormat="1" ht="25.5" customHeight="1" x14ac:dyDescent="0.2">
      <c r="A13" s="66" t="s">
        <v>27</v>
      </c>
      <c r="B13" s="66" t="s">
        <v>137</v>
      </c>
      <c r="C13" s="66" t="s">
        <v>28</v>
      </c>
      <c r="D13" s="67"/>
      <c r="E13" s="68">
        <v>71.650000000000006</v>
      </c>
      <c r="F13" s="67"/>
      <c r="G13" s="68">
        <v>73.900000000000006</v>
      </c>
      <c r="H13" s="67"/>
      <c r="I13" s="68">
        <v>81.88</v>
      </c>
      <c r="J13" s="67"/>
      <c r="K13" s="68">
        <v>89.22</v>
      </c>
      <c r="L13" s="67"/>
      <c r="M13" s="68">
        <v>91.36</v>
      </c>
      <c r="N13" s="67"/>
      <c r="O13" s="68">
        <v>88.77</v>
      </c>
      <c r="P13" s="69"/>
      <c r="Q13" s="70"/>
      <c r="R13" s="22"/>
      <c r="S13" s="71"/>
      <c r="T13" s="22">
        <v>289.33</v>
      </c>
      <c r="U13" s="71"/>
      <c r="V13" s="22">
        <v>256.52999999999997</v>
      </c>
      <c r="W13" s="62"/>
      <c r="X13" s="22">
        <v>256.52999999999997</v>
      </c>
      <c r="Y13" s="22" t="s">
        <v>3</v>
      </c>
      <c r="Z13" s="22">
        <v>239.64</v>
      </c>
      <c r="AA13" s="22" t="s">
        <v>3</v>
      </c>
      <c r="AB13" s="22">
        <v>217.47</v>
      </c>
      <c r="AC13" s="22"/>
      <c r="AD13" s="22">
        <v>238.97</v>
      </c>
      <c r="AE13" s="22" t="s">
        <v>6</v>
      </c>
      <c r="AF13" s="22">
        <v>206.87</v>
      </c>
      <c r="AG13" s="63" t="s">
        <v>6</v>
      </c>
      <c r="AH13" s="22">
        <v>178.36</v>
      </c>
      <c r="AI13" s="63" t="s">
        <v>6</v>
      </c>
    </row>
    <row r="14" spans="1:172" s="72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51.51</v>
      </c>
      <c r="F14" s="67"/>
      <c r="G14" s="73">
        <v>57.29</v>
      </c>
      <c r="H14" s="67"/>
      <c r="I14" s="73">
        <v>60.39</v>
      </c>
      <c r="J14" s="67"/>
      <c r="K14" s="73">
        <v>66.95</v>
      </c>
      <c r="L14" s="67"/>
      <c r="M14" s="73">
        <v>66.62</v>
      </c>
      <c r="N14" s="67"/>
      <c r="O14" s="73">
        <v>62.93</v>
      </c>
      <c r="P14" s="66"/>
      <c r="Q14" s="71"/>
      <c r="S14" s="71"/>
      <c r="T14" s="72">
        <v>186.9</v>
      </c>
      <c r="U14" s="71"/>
      <c r="V14" s="72">
        <v>163.9</v>
      </c>
      <c r="W14" s="62"/>
      <c r="X14" s="72">
        <v>167.5</v>
      </c>
      <c r="Y14" s="69" t="s">
        <v>3</v>
      </c>
      <c r="Z14" s="69">
        <v>173.53</v>
      </c>
      <c r="AA14" s="69" t="s">
        <v>3</v>
      </c>
      <c r="AB14" s="69">
        <v>160.63999999999999</v>
      </c>
      <c r="AC14" s="22" t="s">
        <v>6</v>
      </c>
      <c r="AD14" s="22">
        <v>186.17</v>
      </c>
      <c r="AE14" s="22" t="s">
        <v>6</v>
      </c>
      <c r="AF14" s="22">
        <v>160.63999999999999</v>
      </c>
      <c r="AG14" s="63" t="s">
        <v>6</v>
      </c>
      <c r="AH14" s="22">
        <v>132.87</v>
      </c>
      <c r="AI14" s="66" t="s">
        <v>6</v>
      </c>
    </row>
    <row r="15" spans="1:172" s="78" customFormat="1" x14ac:dyDescent="0.2">
      <c r="A15" s="74"/>
      <c r="B15" s="74"/>
      <c r="C15" s="74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4"/>
      <c r="Q15" s="77"/>
      <c r="S15" s="77"/>
      <c r="T15" s="78">
        <v>0.35399999999999998</v>
      </c>
      <c r="U15" s="77"/>
      <c r="V15" s="78">
        <v>0.443</v>
      </c>
      <c r="W15" s="79"/>
      <c r="X15" s="78">
        <v>0.34699999999999998</v>
      </c>
      <c r="Y15" s="80" t="s">
        <v>3</v>
      </c>
      <c r="Z15" s="80">
        <v>0.27600000000000002</v>
      </c>
      <c r="AA15" s="80" t="s">
        <v>3</v>
      </c>
      <c r="AB15" s="80">
        <v>0.26</v>
      </c>
      <c r="AC15" s="80" t="s">
        <v>6</v>
      </c>
      <c r="AD15" s="80">
        <v>0.221</v>
      </c>
      <c r="AE15" s="80" t="s">
        <v>6</v>
      </c>
      <c r="AF15" s="80">
        <v>0.224</v>
      </c>
      <c r="AG15" s="74" t="s">
        <v>6</v>
      </c>
      <c r="AH15" s="80">
        <v>0.255</v>
      </c>
      <c r="AI15" s="74" t="s">
        <v>6</v>
      </c>
    </row>
    <row r="16" spans="1:172" s="65" customFormat="1" x14ac:dyDescent="0.2">
      <c r="A16" s="64" t="s">
        <v>74</v>
      </c>
      <c r="B16" s="64" t="s">
        <v>78</v>
      </c>
      <c r="C16" s="81" t="s">
        <v>77</v>
      </c>
      <c r="D16" s="82"/>
      <c r="E16" s="83">
        <v>161358287</v>
      </c>
      <c r="F16" s="82"/>
      <c r="G16" s="83">
        <v>161358287</v>
      </c>
      <c r="H16" s="84"/>
      <c r="I16" s="83">
        <v>161358287</v>
      </c>
      <c r="J16" s="84"/>
      <c r="K16" s="83">
        <v>161358287</v>
      </c>
      <c r="L16" s="84"/>
      <c r="M16" s="83">
        <v>161358287</v>
      </c>
      <c r="N16" s="82"/>
      <c r="O16" s="83">
        <v>161358287</v>
      </c>
      <c r="P16" s="59"/>
      <c r="Q16" s="60"/>
      <c r="R16" s="19"/>
      <c r="S16" s="61"/>
      <c r="T16" s="19">
        <v>24432025</v>
      </c>
      <c r="U16" s="61"/>
      <c r="V16" s="19">
        <v>24432025</v>
      </c>
      <c r="W16" s="62"/>
      <c r="X16" s="19">
        <v>24432025</v>
      </c>
      <c r="Y16" s="22" t="s">
        <v>3</v>
      </c>
      <c r="Z16" s="19">
        <v>24432025</v>
      </c>
      <c r="AA16" s="22" t="s">
        <v>3</v>
      </c>
      <c r="AB16" s="19">
        <v>24458667</v>
      </c>
      <c r="AC16" s="22" t="s">
        <v>6</v>
      </c>
      <c r="AD16" s="19">
        <v>24402157</v>
      </c>
      <c r="AE16" s="22" t="s">
        <v>6</v>
      </c>
      <c r="AF16" s="19">
        <v>25783578</v>
      </c>
      <c r="AG16" s="63" t="s">
        <v>6</v>
      </c>
      <c r="AH16" s="19">
        <v>25783578</v>
      </c>
      <c r="AI16" s="64" t="s">
        <v>6</v>
      </c>
    </row>
    <row r="17" spans="2:30" x14ac:dyDescent="0.2">
      <c r="Q17" s="31"/>
    </row>
    <row r="18" spans="2:30" ht="12.75" customHeight="1" x14ac:dyDescent="0.2">
      <c r="B18" s="88"/>
      <c r="C18" s="89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2"/>
      <c r="Q18" s="88"/>
      <c r="R18" s="93"/>
      <c r="S18" s="26"/>
      <c r="T18" s="23"/>
      <c r="U18" s="14"/>
      <c r="V18" s="23"/>
      <c r="W18" s="47"/>
      <c r="X18" s="47"/>
      <c r="Y18" s="47"/>
      <c r="Z18" s="47"/>
      <c r="AA18" s="47"/>
      <c r="AB18" s="47"/>
      <c r="AC18" s="47"/>
      <c r="AD18" s="14"/>
    </row>
    <row r="19" spans="2:30" x14ac:dyDescent="0.2">
      <c r="D19" s="94"/>
      <c r="F19" s="94"/>
      <c r="H19" s="94"/>
      <c r="J19" s="94"/>
      <c r="L19" s="94"/>
      <c r="N19" s="94"/>
      <c r="Q19" s="31"/>
      <c r="U19" s="49"/>
      <c r="Y19" s="87"/>
      <c r="AA19" s="26"/>
    </row>
    <row r="20" spans="2:30" x14ac:dyDescent="0.2">
      <c r="D20" s="94"/>
      <c r="F20" s="94"/>
      <c r="H20" s="94"/>
      <c r="J20" s="94"/>
      <c r="L20" s="94"/>
      <c r="N20" s="94"/>
      <c r="Q20" s="31"/>
      <c r="U20" s="49"/>
      <c r="Y20" s="87"/>
      <c r="AA20" s="26"/>
    </row>
    <row r="21" spans="2:30" x14ac:dyDescent="0.2">
      <c r="D21" s="94"/>
      <c r="F21" s="94"/>
      <c r="H21" s="94"/>
      <c r="J21" s="94"/>
      <c r="L21" s="94"/>
      <c r="N21" s="94"/>
      <c r="Q21" s="31"/>
      <c r="U21" s="49"/>
      <c r="Y21" s="87"/>
      <c r="AA21" s="26"/>
    </row>
    <row r="22" spans="2:30" x14ac:dyDescent="0.2">
      <c r="D22" s="94"/>
      <c r="F22" s="94"/>
      <c r="H22" s="94"/>
      <c r="J22" s="94"/>
      <c r="L22" s="94"/>
      <c r="N22" s="94"/>
      <c r="Q22" s="31"/>
      <c r="U22" s="49"/>
      <c r="Y22" s="87"/>
      <c r="AA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FP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1.5703125" style="85" customWidth="1"/>
    <col min="5" max="5" width="12.42578125" style="45" customWidth="1"/>
    <col min="6" max="6" width="11.5703125" style="85" customWidth="1"/>
    <col min="7" max="7" width="12.42578125" style="45" customWidth="1"/>
    <col min="8" max="8" width="11.5703125" style="85" customWidth="1"/>
    <col min="9" max="9" width="12.42578125" style="45" customWidth="1"/>
    <col min="10" max="10" width="11.5703125" style="85" customWidth="1"/>
    <col min="11" max="11" width="12.42578125" style="45" customWidth="1"/>
    <col min="12" max="12" width="11.5703125" style="85" customWidth="1"/>
    <col min="13" max="13" width="12.42578125" style="45" customWidth="1"/>
    <col min="14" max="14" width="11.5703125" style="85" customWidth="1"/>
    <col min="15" max="15" width="12.42578125" style="45" customWidth="1"/>
    <col min="16" max="16" width="12.42578125" style="26" customWidth="1"/>
    <col min="17" max="17" width="11.42578125" style="86" customWidth="1"/>
    <col min="18" max="18" width="11.42578125" style="26" customWidth="1"/>
    <col min="19" max="19" width="9.140625" style="86" hidden="1" customWidth="1"/>
    <col min="20" max="20" width="9.140625" style="26" hidden="1" customWidth="1"/>
    <col min="21" max="21" width="9.140625" style="86" hidden="1" customWidth="1"/>
    <col min="22" max="22" width="9.140625" style="26" hidden="1" customWidth="1"/>
    <col min="23" max="23" width="11.5703125" style="49" hidden="1" customWidth="1"/>
    <col min="24" max="24" width="9.140625" style="26" hidden="1" customWidth="1"/>
    <col min="25" max="25" width="9.140625" style="49" hidden="1" customWidth="1"/>
    <col min="26" max="26" width="9.140625" style="26" hidden="1" customWidth="1"/>
    <col min="27" max="27" width="11.5703125" style="87" hidden="1" customWidth="1"/>
    <col min="28" max="30" width="9.140625" style="26" hidden="1" customWidth="1"/>
    <col min="31" max="34" width="11.42578125" style="26" hidden="1" customWidth="1"/>
    <col min="35" max="35" width="11.42578125" style="26" customWidth="1"/>
    <col min="36" max="37" width="9.140625" style="26" hidden="1" customWidth="1"/>
    <col min="38" max="16384" width="11.42578125" style="26"/>
  </cols>
  <sheetData>
    <row r="1" spans="1:172" s="13" customFormat="1" x14ac:dyDescent="0.2">
      <c r="A1" s="2" t="s">
        <v>0</v>
      </c>
      <c r="B1" s="2" t="s">
        <v>1</v>
      </c>
      <c r="C1" s="2" t="s">
        <v>2</v>
      </c>
      <c r="D1" s="3"/>
      <c r="E1" s="4">
        <v>41274</v>
      </c>
      <c r="F1" s="3"/>
      <c r="G1" s="4">
        <v>41182</v>
      </c>
      <c r="H1" s="3"/>
      <c r="I1" s="4">
        <v>41090</v>
      </c>
      <c r="J1" s="3"/>
      <c r="K1" s="4">
        <v>40999</v>
      </c>
      <c r="L1" s="3"/>
      <c r="M1" s="4">
        <v>40963</v>
      </c>
      <c r="N1" s="3"/>
      <c r="O1" s="4">
        <v>40908</v>
      </c>
      <c r="P1" s="5"/>
      <c r="Q1" s="6"/>
      <c r="R1" s="5"/>
      <c r="S1" s="7"/>
      <c r="T1" s="8">
        <v>36420</v>
      </c>
      <c r="U1" s="7"/>
      <c r="V1" s="8">
        <v>36341</v>
      </c>
      <c r="W1" s="8"/>
      <c r="X1" s="8">
        <v>36231</v>
      </c>
      <c r="Y1" s="8"/>
      <c r="Z1" s="8">
        <v>36160</v>
      </c>
      <c r="AA1" s="9"/>
      <c r="AB1" s="8">
        <v>36052</v>
      </c>
      <c r="AC1" s="10" t="s">
        <v>3</v>
      </c>
      <c r="AD1" s="11">
        <v>35976</v>
      </c>
      <c r="AE1" s="10" t="s">
        <v>3</v>
      </c>
      <c r="AF1" s="11">
        <v>35884</v>
      </c>
      <c r="AG1" s="12" t="s">
        <v>3</v>
      </c>
      <c r="AH1" s="11">
        <v>35795</v>
      </c>
      <c r="AJ1" s="13">
        <v>40.3399</v>
      </c>
      <c r="AK1" s="13">
        <v>6.5595699999999999</v>
      </c>
    </row>
    <row r="2" spans="1:172" x14ac:dyDescent="0.2">
      <c r="A2" s="14" t="s">
        <v>88</v>
      </c>
      <c r="B2" s="14" t="str">
        <f>A2</f>
        <v>Iberdrola</v>
      </c>
      <c r="C2" s="14" t="str">
        <f t="shared" ref="C2:C9" si="0">A2</f>
        <v>Iberdrola</v>
      </c>
      <c r="D2" s="15">
        <v>4.2</v>
      </c>
      <c r="E2" s="16">
        <v>58</v>
      </c>
      <c r="F2" s="15">
        <v>3.53</v>
      </c>
      <c r="G2" s="16">
        <v>49</v>
      </c>
      <c r="H2" s="15">
        <v>3.72</v>
      </c>
      <c r="I2" s="16">
        <v>53</v>
      </c>
      <c r="J2" s="15">
        <v>4.26</v>
      </c>
      <c r="K2" s="16">
        <v>60</v>
      </c>
      <c r="L2" s="15">
        <v>4.51</v>
      </c>
      <c r="M2" s="16">
        <v>64</v>
      </c>
      <c r="N2" s="15">
        <v>4.84</v>
      </c>
      <c r="O2" s="16">
        <v>69</v>
      </c>
      <c r="P2" s="17"/>
      <c r="Q2" s="18"/>
      <c r="R2" s="19"/>
      <c r="S2" s="20"/>
      <c r="T2" s="21"/>
      <c r="U2" s="20"/>
      <c r="V2" s="21"/>
      <c r="W2" s="21"/>
      <c r="X2" s="21"/>
      <c r="Y2" s="21"/>
      <c r="Z2" s="21"/>
      <c r="AA2" s="22"/>
      <c r="AB2" s="21"/>
      <c r="AC2" s="23"/>
      <c r="AD2" s="24"/>
      <c r="AE2" s="23"/>
      <c r="AF2" s="24"/>
      <c r="AG2" s="25"/>
      <c r="AH2" s="24"/>
    </row>
    <row r="3" spans="1:172" x14ac:dyDescent="0.2">
      <c r="A3" s="14" t="s">
        <v>82</v>
      </c>
      <c r="B3" s="14" t="str">
        <f>A3</f>
        <v>Pernod Ricard</v>
      </c>
      <c r="C3" s="14" t="str">
        <f t="shared" si="0"/>
        <v>Pernod Ricard</v>
      </c>
      <c r="D3" s="15">
        <v>87.44</v>
      </c>
      <c r="E3" s="27">
        <v>1739</v>
      </c>
      <c r="F3" s="15">
        <v>87.31</v>
      </c>
      <c r="G3" s="27">
        <v>1737</v>
      </c>
      <c r="H3" s="15">
        <v>84.26</v>
      </c>
      <c r="I3" s="27">
        <v>1676</v>
      </c>
      <c r="J3" s="15">
        <v>78.400000000000006</v>
      </c>
      <c r="K3" s="27">
        <v>1560</v>
      </c>
      <c r="L3" s="15">
        <v>76.790000000000006</v>
      </c>
      <c r="M3" s="27">
        <v>2004</v>
      </c>
      <c r="N3" s="15">
        <v>71.66</v>
      </c>
      <c r="O3" s="27">
        <v>1870</v>
      </c>
      <c r="P3" s="28"/>
      <c r="Q3" s="29"/>
      <c r="R3" s="30"/>
      <c r="S3" s="29">
        <v>48.35</v>
      </c>
      <c r="T3" s="30">
        <v>1302</v>
      </c>
      <c r="U3" s="29">
        <v>46.55</v>
      </c>
      <c r="V3" s="30">
        <v>1242</v>
      </c>
      <c r="W3" s="31">
        <v>37.450000000000003</v>
      </c>
      <c r="X3" s="30">
        <v>991</v>
      </c>
      <c r="Y3" s="32">
        <f>1550/AJ1</f>
        <v>38.423496339852107</v>
      </c>
      <c r="Z3" s="33">
        <f>40072/AJ1</f>
        <v>993.35893247132492</v>
      </c>
      <c r="AA3" s="32">
        <f>1498/AJ1</f>
        <v>37.134450011031262</v>
      </c>
      <c r="AB3" s="33">
        <f>38499/AJ1</f>
        <v>954.36528102449438</v>
      </c>
      <c r="AC3" s="32">
        <f>1520/AJ1</f>
        <v>37.679815765532389</v>
      </c>
      <c r="AD3" s="33">
        <f>38837/AJ1</f>
        <v>962.74408216182985</v>
      </c>
      <c r="AE3" s="32">
        <f>1510/AJ1</f>
        <v>37.43192224075915</v>
      </c>
      <c r="AF3" s="33">
        <f>26966/AJ1</f>
        <v>668.46967890351732</v>
      </c>
      <c r="AG3" s="29">
        <f>1510/AJ1</f>
        <v>37.43192224075915</v>
      </c>
      <c r="AH3" s="33">
        <f>25184/AJ1</f>
        <v>624.29505278892611</v>
      </c>
      <c r="AI3" s="1" t="s">
        <v>6</v>
      </c>
    </row>
    <row r="4" spans="1:172" s="42" customFormat="1" x14ac:dyDescent="0.2">
      <c r="A4" s="14" t="s">
        <v>89</v>
      </c>
      <c r="B4" s="14" t="s">
        <v>89</v>
      </c>
      <c r="C4" s="14" t="str">
        <f t="shared" si="0"/>
        <v>GDF SUEZ</v>
      </c>
      <c r="D4" s="15">
        <v>15.58</v>
      </c>
      <c r="E4" s="34">
        <v>1825</v>
      </c>
      <c r="F4" s="15">
        <v>17.399999999999999</v>
      </c>
      <c r="G4" s="34">
        <v>2039</v>
      </c>
      <c r="H4" s="15">
        <v>18.760000000000002</v>
      </c>
      <c r="I4" s="34">
        <v>2198</v>
      </c>
      <c r="J4" s="15">
        <v>19.37</v>
      </c>
      <c r="K4" s="34">
        <v>2270</v>
      </c>
      <c r="L4" s="15">
        <v>19.68</v>
      </c>
      <c r="M4" s="34">
        <v>2305</v>
      </c>
      <c r="N4" s="15">
        <v>21.12</v>
      </c>
      <c r="O4" s="34">
        <v>2475</v>
      </c>
      <c r="P4" s="35"/>
      <c r="Q4" s="36"/>
      <c r="R4" s="37"/>
      <c r="S4" s="38"/>
      <c r="T4" s="39"/>
      <c r="U4" s="38"/>
      <c r="V4" s="39"/>
      <c r="W4" s="40"/>
      <c r="X4" s="39"/>
      <c r="Y4" s="38"/>
      <c r="Z4" s="41"/>
      <c r="AA4" s="38"/>
      <c r="AB4" s="41"/>
      <c r="AC4" s="38"/>
      <c r="AD4" s="41"/>
      <c r="AE4" s="38"/>
      <c r="AF4" s="41"/>
      <c r="AG4" s="38"/>
      <c r="AH4" s="41"/>
      <c r="AI4" s="41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</row>
    <row r="5" spans="1:172" s="42" customFormat="1" x14ac:dyDescent="0.2">
      <c r="A5" s="14" t="s">
        <v>90</v>
      </c>
      <c r="B5" s="14" t="s">
        <v>90</v>
      </c>
      <c r="C5" s="14" t="str">
        <f t="shared" si="0"/>
        <v>Suez Environnement</v>
      </c>
      <c r="D5" s="15">
        <v>9.11</v>
      </c>
      <c r="E5" s="34">
        <v>319</v>
      </c>
      <c r="F5" s="15">
        <v>8.82</v>
      </c>
      <c r="G5" s="34">
        <v>309</v>
      </c>
      <c r="H5" s="15">
        <v>8.4700000000000006</v>
      </c>
      <c r="I5" s="34">
        <v>296</v>
      </c>
      <c r="J5" s="15">
        <v>11.5</v>
      </c>
      <c r="K5" s="34">
        <v>403</v>
      </c>
      <c r="L5" s="15">
        <v>10.54</v>
      </c>
      <c r="M5" s="34">
        <v>369</v>
      </c>
      <c r="N5" s="15">
        <v>8.9</v>
      </c>
      <c r="O5" s="34">
        <v>311</v>
      </c>
      <c r="P5" s="35"/>
      <c r="Q5" s="36"/>
      <c r="R5" s="37"/>
      <c r="S5" s="38"/>
      <c r="T5" s="39"/>
      <c r="U5" s="38"/>
      <c r="V5" s="39"/>
      <c r="W5" s="40"/>
      <c r="X5" s="39"/>
      <c r="Y5" s="38"/>
      <c r="Z5" s="41"/>
      <c r="AA5" s="38"/>
      <c r="AB5" s="41"/>
      <c r="AC5" s="38"/>
      <c r="AD5" s="41"/>
      <c r="AE5" s="38"/>
      <c r="AF5" s="41"/>
      <c r="AG5" s="38"/>
      <c r="AH5" s="41"/>
      <c r="AI5" s="41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</row>
    <row r="6" spans="1:172" x14ac:dyDescent="0.2">
      <c r="A6" s="14" t="s">
        <v>79</v>
      </c>
      <c r="B6" s="14" t="str">
        <f>A6</f>
        <v>Total</v>
      </c>
      <c r="C6" s="14" t="str">
        <f t="shared" si="0"/>
        <v>Total</v>
      </c>
      <c r="D6" s="43">
        <v>39.01</v>
      </c>
      <c r="E6" s="16">
        <v>3665</v>
      </c>
      <c r="F6" s="43">
        <v>38.6</v>
      </c>
      <c r="G6" s="16">
        <v>3626</v>
      </c>
      <c r="H6" s="43">
        <v>35.5</v>
      </c>
      <c r="I6" s="16">
        <v>3335</v>
      </c>
      <c r="J6" s="43">
        <v>38.24</v>
      </c>
      <c r="K6" s="16">
        <v>3592</v>
      </c>
      <c r="L6" s="43">
        <v>42.07</v>
      </c>
      <c r="M6" s="16">
        <v>3951</v>
      </c>
      <c r="N6" s="43">
        <v>39.5</v>
      </c>
      <c r="O6" s="16">
        <v>3711</v>
      </c>
      <c r="P6" s="17"/>
      <c r="Q6" s="29"/>
      <c r="R6" s="30"/>
      <c r="S6" s="29">
        <v>120.9</v>
      </c>
      <c r="T6" s="30">
        <v>2351</v>
      </c>
      <c r="U6" s="29">
        <v>125.1</v>
      </c>
      <c r="V6" s="30">
        <v>2399</v>
      </c>
      <c r="W6" s="44">
        <f>460.3/4.5</f>
        <v>102.28888888888889</v>
      </c>
      <c r="X6" s="30">
        <v>1921</v>
      </c>
      <c r="Y6" s="32">
        <v>86.76</v>
      </c>
      <c r="Z6" s="33">
        <v>1590</v>
      </c>
      <c r="AA6" s="32" t="e">
        <f>12875/(#REF!*4.5)</f>
        <v>#REF!</v>
      </c>
      <c r="AB6" s="33" t="e">
        <f>52109/#REF!</f>
        <v>#REF!</v>
      </c>
      <c r="AC6" s="32" t="e">
        <f>15275/(#REF!*4.5)</f>
        <v>#REF!</v>
      </c>
      <c r="AD6" s="33" t="e">
        <f>61445/#REF!</f>
        <v>#REF!</v>
      </c>
      <c r="AE6" s="32" t="e">
        <f>13950/#REF!</f>
        <v>#REF!</v>
      </c>
      <c r="AF6" s="33" t="e">
        <f>38455/#REF!</f>
        <v>#REF!</v>
      </c>
      <c r="AG6" s="29" t="e">
        <f>13675/#REF!</f>
        <v>#REF!</v>
      </c>
      <c r="AH6" s="33" t="e">
        <f>35072/#REF!</f>
        <v>#REF!</v>
      </c>
      <c r="AI6" s="14" t="s">
        <v>6</v>
      </c>
    </row>
    <row r="7" spans="1:172" x14ac:dyDescent="0.2">
      <c r="A7" s="14" t="s">
        <v>84</v>
      </c>
      <c r="B7" s="14" t="str">
        <f>A7</f>
        <v xml:space="preserve">Imerys </v>
      </c>
      <c r="C7" s="14" t="str">
        <f t="shared" si="0"/>
        <v xml:space="preserve">Imerys </v>
      </c>
      <c r="D7" s="43">
        <v>48.19</v>
      </c>
      <c r="E7" s="16">
        <v>2065</v>
      </c>
      <c r="F7" s="43">
        <v>45.66</v>
      </c>
      <c r="G7" s="16">
        <v>1957</v>
      </c>
      <c r="H7" s="43">
        <v>40.090000000000003</v>
      </c>
      <c r="I7" s="16">
        <v>1718</v>
      </c>
      <c r="J7" s="43">
        <v>45.59</v>
      </c>
      <c r="K7" s="16">
        <v>1954</v>
      </c>
      <c r="L7" s="43">
        <v>45.15</v>
      </c>
      <c r="M7" s="16">
        <v>1935</v>
      </c>
      <c r="N7" s="43">
        <v>35.590000000000003</v>
      </c>
      <c r="O7" s="16">
        <v>1525</v>
      </c>
      <c r="P7" s="17"/>
      <c r="Q7" s="29"/>
      <c r="R7" s="33"/>
      <c r="S7" s="29">
        <v>159.9</v>
      </c>
      <c r="T7" s="33">
        <v>2134</v>
      </c>
      <c r="U7" s="29">
        <v>174.9</v>
      </c>
      <c r="V7" s="33">
        <v>2278</v>
      </c>
      <c r="W7" s="32">
        <v>173.2</v>
      </c>
      <c r="X7" s="33">
        <v>2197</v>
      </c>
      <c r="Y7" s="32">
        <f>1148/AK1</f>
        <v>175.01147178854711</v>
      </c>
      <c r="Z7" s="33">
        <f>85728/AJ1</f>
        <v>2125.1416091760266</v>
      </c>
      <c r="AA7" s="32">
        <f>1029/AK1</f>
        <v>156.87003873729529</v>
      </c>
      <c r="AB7" s="33">
        <f>76396/AJ1</f>
        <v>1893.8073718576397</v>
      </c>
      <c r="AC7" s="32">
        <f>995/AK1</f>
        <v>151.68677215122332</v>
      </c>
      <c r="AD7" s="33">
        <f>73440/AJ1</f>
        <v>1820.5300459346702</v>
      </c>
      <c r="AE7" s="32">
        <f>889/AK1</f>
        <v>135.52717632405782</v>
      </c>
      <c r="AF7" s="33">
        <f>41140/AJ1</f>
        <v>1019.8339609171069</v>
      </c>
      <c r="AG7" s="29">
        <f>666/AK1</f>
        <v>101.53104548011531</v>
      </c>
      <c r="AH7" s="33">
        <f>28071/AJ1</f>
        <v>695.86191339096035</v>
      </c>
      <c r="AI7" s="14" t="s">
        <v>6</v>
      </c>
    </row>
    <row r="8" spans="1:172" x14ac:dyDescent="0.2">
      <c r="A8" s="1" t="s">
        <v>81</v>
      </c>
      <c r="B8" s="14" t="str">
        <f>A8</f>
        <v>Lafarge</v>
      </c>
      <c r="C8" s="14" t="str">
        <f t="shared" si="0"/>
        <v>Lafarge</v>
      </c>
      <c r="D8" s="43">
        <v>48.23</v>
      </c>
      <c r="E8" s="34">
        <v>2909</v>
      </c>
      <c r="F8" s="43">
        <v>41.91</v>
      </c>
      <c r="G8" s="34">
        <v>2528</v>
      </c>
      <c r="H8" s="43">
        <v>35.159999999999997</v>
      </c>
      <c r="I8" s="34">
        <v>2120</v>
      </c>
      <c r="J8" s="43">
        <v>35.79</v>
      </c>
      <c r="K8" s="34">
        <v>2158</v>
      </c>
      <c r="L8" s="43">
        <v>35.4</v>
      </c>
      <c r="M8" s="34">
        <v>2135</v>
      </c>
      <c r="N8" s="43">
        <v>27.16</v>
      </c>
      <c r="O8" s="34">
        <v>1638</v>
      </c>
      <c r="P8" s="17"/>
      <c r="Q8" s="29"/>
      <c r="R8" s="30"/>
      <c r="S8" s="29">
        <v>149.1</v>
      </c>
      <c r="T8" s="30">
        <v>624</v>
      </c>
      <c r="U8" s="29">
        <v>144</v>
      </c>
      <c r="V8" s="30">
        <v>603</v>
      </c>
      <c r="W8" s="31">
        <v>99.6</v>
      </c>
      <c r="X8" s="30">
        <v>417</v>
      </c>
      <c r="Y8" s="32">
        <f>560/AK1</f>
        <v>85.371449652949821</v>
      </c>
      <c r="Z8" s="33">
        <f>14416/AJ1</f>
        <v>357.36330531310193</v>
      </c>
      <c r="AA8" s="32">
        <f>563/AK1</f>
        <v>85.828796704662039</v>
      </c>
      <c r="AB8" s="33">
        <f>14484/AJ1</f>
        <v>359.04898128155992</v>
      </c>
      <c r="AC8" s="32">
        <f>831/AK1</f>
        <v>126.68513332428803</v>
      </c>
      <c r="AD8" s="33">
        <f>19136/AJ1</f>
        <v>474.3690490060709</v>
      </c>
      <c r="AE8" s="32">
        <f>818/AK1</f>
        <v>124.7032961002017</v>
      </c>
      <c r="AF8" s="33">
        <f>16662/AJ1</f>
        <v>413.04019097717151</v>
      </c>
      <c r="AG8" s="29">
        <f>748/AK1</f>
        <v>114.03186489358296</v>
      </c>
      <c r="AH8" s="33">
        <f>15243/AJ1</f>
        <v>377.8640998118488</v>
      </c>
      <c r="AI8" s="14" t="s">
        <v>6</v>
      </c>
    </row>
    <row r="9" spans="1:172" x14ac:dyDescent="0.2">
      <c r="A9" s="1" t="s">
        <v>92</v>
      </c>
      <c r="B9" s="14" t="str">
        <f>A9</f>
        <v>Arkema</v>
      </c>
      <c r="C9" s="14" t="str">
        <f t="shared" si="0"/>
        <v>Arkema</v>
      </c>
      <c r="D9" s="43"/>
      <c r="F9" s="43"/>
      <c r="H9" s="43"/>
      <c r="J9" s="43"/>
      <c r="L9" s="43">
        <v>69.19</v>
      </c>
      <c r="M9" s="45">
        <v>429</v>
      </c>
      <c r="N9" s="43">
        <v>54.7</v>
      </c>
      <c r="O9" s="45">
        <v>339</v>
      </c>
      <c r="P9" s="17"/>
      <c r="Q9" s="29"/>
      <c r="R9" s="33"/>
      <c r="S9" s="47"/>
      <c r="T9" s="47" t="s">
        <v>16</v>
      </c>
      <c r="U9" s="48"/>
      <c r="V9" s="47" t="s">
        <v>16</v>
      </c>
      <c r="X9" s="47" t="s">
        <v>16</v>
      </c>
      <c r="Y9" s="23"/>
      <c r="Z9" s="47" t="s">
        <v>16</v>
      </c>
      <c r="AA9" s="23"/>
      <c r="AB9" s="47"/>
      <c r="AC9" s="23"/>
      <c r="AD9" s="47"/>
      <c r="AE9" s="23"/>
      <c r="AF9" s="33"/>
      <c r="AG9" s="25"/>
      <c r="AH9" s="33"/>
      <c r="AI9" s="14"/>
    </row>
    <row r="10" spans="1:172" x14ac:dyDescent="0.2">
      <c r="A10" s="14" t="s">
        <v>17</v>
      </c>
      <c r="B10" s="14" t="s">
        <v>18</v>
      </c>
      <c r="C10" s="14" t="s">
        <v>19</v>
      </c>
      <c r="D10" s="15"/>
      <c r="E10" s="16">
        <v>328</v>
      </c>
      <c r="F10" s="15"/>
      <c r="G10" s="16">
        <v>329</v>
      </c>
      <c r="H10" s="15"/>
      <c r="I10" s="16">
        <v>353</v>
      </c>
      <c r="J10" s="15"/>
      <c r="K10" s="16">
        <v>311.5</v>
      </c>
      <c r="L10" s="15"/>
      <c r="M10" s="16">
        <v>339</v>
      </c>
      <c r="N10" s="15"/>
      <c r="O10" s="16">
        <v>317</v>
      </c>
      <c r="P10" s="17"/>
      <c r="Q10" s="29"/>
      <c r="R10" s="30"/>
      <c r="S10" s="48"/>
      <c r="T10" s="30">
        <v>266</v>
      </c>
      <c r="U10" s="48"/>
      <c r="V10" s="30">
        <v>257</v>
      </c>
      <c r="X10" s="30">
        <f>25+190</f>
        <v>215</v>
      </c>
      <c r="Y10" s="23" t="s">
        <v>3</v>
      </c>
      <c r="Z10" s="33">
        <f>7517/AJ1+1</f>
        <v>187.34156257204407</v>
      </c>
      <c r="AA10" s="23" t="s">
        <v>3</v>
      </c>
      <c r="AB10" s="33">
        <f>10221/AJ1</f>
        <v>253.37197167072799</v>
      </c>
      <c r="AC10" s="23" t="s">
        <v>6</v>
      </c>
      <c r="AD10" s="33">
        <f>13264/AJ1</f>
        <v>328.80597125922475</v>
      </c>
      <c r="AE10" s="23" t="s">
        <v>6</v>
      </c>
      <c r="AF10" s="33">
        <f>15670/AJ1+1</f>
        <v>389.44915331966615</v>
      </c>
      <c r="AG10" s="25" t="s">
        <v>6</v>
      </c>
      <c r="AH10" s="33">
        <f>22978/AJ1</f>
        <v>569.60974122394953</v>
      </c>
      <c r="AI10" s="14" t="s">
        <v>6</v>
      </c>
    </row>
    <row r="11" spans="1:172" s="53" customFormat="1" ht="25.5" x14ac:dyDescent="0.2">
      <c r="A11" s="50" t="s">
        <v>91</v>
      </c>
      <c r="B11" s="50" t="s">
        <v>86</v>
      </c>
      <c r="C11" s="50" t="s">
        <v>87</v>
      </c>
      <c r="D11" s="51"/>
      <c r="E11" s="16">
        <v>339</v>
      </c>
      <c r="F11" s="51"/>
      <c r="G11" s="16">
        <v>297</v>
      </c>
      <c r="H11" s="51"/>
      <c r="I11" s="16">
        <v>66</v>
      </c>
      <c r="J11" s="51"/>
      <c r="K11" s="16">
        <v>288.60000000000002</v>
      </c>
      <c r="L11" s="51"/>
      <c r="M11" s="16">
        <v>-693</v>
      </c>
      <c r="N11" s="51"/>
      <c r="O11" s="16">
        <v>-694</v>
      </c>
      <c r="P11" s="17"/>
      <c r="Q11" s="29"/>
      <c r="R11" s="30"/>
      <c r="S11" s="52"/>
      <c r="T11" s="53">
        <v>392</v>
      </c>
      <c r="U11" s="52"/>
      <c r="V11" s="53">
        <v>414</v>
      </c>
      <c r="W11" s="54"/>
      <c r="X11" s="53">
        <v>527</v>
      </c>
      <c r="Y11" s="55" t="s">
        <v>3</v>
      </c>
      <c r="Z11" s="55">
        <f>24308/AJ1</f>
        <v>602.57958001879035</v>
      </c>
      <c r="AA11" s="55" t="s">
        <v>3</v>
      </c>
      <c r="AB11" s="55">
        <f>22554/AJ1</f>
        <v>559.09905577356415</v>
      </c>
      <c r="AC11" s="55" t="s">
        <v>6</v>
      </c>
      <c r="AD11" s="55">
        <f>29104/AJ1</f>
        <v>721.46931450003592</v>
      </c>
      <c r="AE11" s="55" t="s">
        <v>6</v>
      </c>
      <c r="AF11" s="55">
        <f>48989/AJ1+1</f>
        <v>1215.4055885116225</v>
      </c>
      <c r="AG11" s="50" t="s">
        <v>6</v>
      </c>
      <c r="AH11" s="55">
        <f>37124/AJ1+1</f>
        <v>921.27992136817397</v>
      </c>
      <c r="AI11" s="50" t="s">
        <v>6</v>
      </c>
    </row>
    <row r="12" spans="1:172" s="129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f>SUM(E2:E11)</f>
        <v>13247</v>
      </c>
      <c r="F12" s="57"/>
      <c r="G12" s="58">
        <f>SUM(G2:G11)</f>
        <v>12871</v>
      </c>
      <c r="H12" s="57"/>
      <c r="I12" s="58">
        <f>SUM(I2:I11)</f>
        <v>11815</v>
      </c>
      <c r="J12" s="57"/>
      <c r="K12" s="58">
        <f>SUM(K2:K11)</f>
        <v>12597.1</v>
      </c>
      <c r="L12" s="57"/>
      <c r="M12" s="58">
        <f>SUM(M2:M11)</f>
        <v>12838</v>
      </c>
      <c r="N12" s="57"/>
      <c r="O12" s="58">
        <f>SUM(O2:O11)</f>
        <v>11561</v>
      </c>
      <c r="P12" s="122"/>
      <c r="Q12" s="123"/>
      <c r="R12" s="124"/>
      <c r="S12" s="125"/>
      <c r="T12" s="124" t="e">
        <f>SUM(T3:T7:#REF!)-#REF!-T4</f>
        <v>#REF!</v>
      </c>
      <c r="U12" s="125"/>
      <c r="V12" s="124" t="e">
        <f>SUM(V3:V7:#REF!)-#REF!-V4</f>
        <v>#REF!</v>
      </c>
      <c r="W12" s="126"/>
      <c r="X12" s="124" t="e">
        <f>SUM(X3:X7:#REF!)-#REF!-X4</f>
        <v>#REF!</v>
      </c>
      <c r="Y12" s="127" t="s">
        <v>3</v>
      </c>
      <c r="Z12" s="124" t="e">
        <f>SUM(Z3:Z7:#REF!)-#REF!-Z4-1</f>
        <v>#REF!</v>
      </c>
      <c r="AA12" s="127" t="s">
        <v>3</v>
      </c>
      <c r="AB12" s="124">
        <f>SUM(AB7:AB11)</f>
        <v>3065.3273805834915</v>
      </c>
      <c r="AC12" s="127" t="s">
        <v>6</v>
      </c>
      <c r="AD12" s="124">
        <f>SUM(AD7:AD11)</f>
        <v>3345.1743807000021</v>
      </c>
      <c r="AE12" s="127" t="s">
        <v>6</v>
      </c>
      <c r="AF12" s="124">
        <f>SUM(AF7:AF11)-2</f>
        <v>3035.7288937255671</v>
      </c>
      <c r="AG12" s="128" t="s">
        <v>6</v>
      </c>
      <c r="AH12" s="124">
        <f>SUM(AH7:AH11)-1</f>
        <v>2563.6156757949329</v>
      </c>
      <c r="AI12" s="56" t="s">
        <v>6</v>
      </c>
      <c r="AJ12" s="129">
        <f>236182/AJ1</f>
        <v>5854.7988467993227</v>
      </c>
      <c r="AK12" s="129">
        <f>214263/AJ1</f>
        <v>5311.4410298488592</v>
      </c>
    </row>
    <row r="13" spans="1:172" s="72" customFormat="1" ht="25.5" customHeight="1" x14ac:dyDescent="0.2">
      <c r="A13" s="66" t="s">
        <v>27</v>
      </c>
      <c r="B13" s="66" t="s">
        <v>137</v>
      </c>
      <c r="C13" s="66" t="s">
        <v>28</v>
      </c>
      <c r="D13" s="67"/>
      <c r="E13" s="68">
        <v>82.1</v>
      </c>
      <c r="F13" s="67"/>
      <c r="G13" s="68">
        <v>79.77</v>
      </c>
      <c r="H13" s="67"/>
      <c r="I13" s="68">
        <v>73.22</v>
      </c>
      <c r="J13" s="67"/>
      <c r="K13" s="68">
        <v>78.069999999999993</v>
      </c>
      <c r="L13" s="67"/>
      <c r="M13" s="68">
        <v>79.56</v>
      </c>
      <c r="N13" s="67"/>
      <c r="O13" s="68">
        <v>71.650000000000006</v>
      </c>
      <c r="P13" s="69"/>
      <c r="Q13" s="70"/>
      <c r="R13" s="22"/>
      <c r="S13" s="71"/>
      <c r="T13" s="22">
        <v>289.33</v>
      </c>
      <c r="U13" s="71"/>
      <c r="V13" s="22">
        <v>256.52999999999997</v>
      </c>
      <c r="W13" s="62"/>
      <c r="X13" s="22">
        <v>256.52999999999997</v>
      </c>
      <c r="Y13" s="22" t="s">
        <v>3</v>
      </c>
      <c r="Z13" s="22">
        <v>239.64</v>
      </c>
      <c r="AA13" s="22" t="s">
        <v>3</v>
      </c>
      <c r="AB13" s="22">
        <v>217.47</v>
      </c>
      <c r="AC13" s="22"/>
      <c r="AD13" s="22">
        <v>238.97</v>
      </c>
      <c r="AE13" s="22" t="s">
        <v>6</v>
      </c>
      <c r="AF13" s="22">
        <v>206.87</v>
      </c>
      <c r="AG13" s="63" t="s">
        <v>6</v>
      </c>
      <c r="AH13" s="22">
        <v>178.36</v>
      </c>
      <c r="AI13" s="63" t="s">
        <v>6</v>
      </c>
    </row>
    <row r="14" spans="1:172" s="72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60.14</v>
      </c>
      <c r="F14" s="67"/>
      <c r="G14" s="73">
        <v>57.75</v>
      </c>
      <c r="H14" s="67"/>
      <c r="I14" s="73">
        <v>53.5</v>
      </c>
      <c r="J14" s="67"/>
      <c r="K14" s="73">
        <v>58.04</v>
      </c>
      <c r="L14" s="67"/>
      <c r="M14" s="73">
        <v>55.37</v>
      </c>
      <c r="N14" s="67"/>
      <c r="O14" s="73">
        <v>51.51</v>
      </c>
      <c r="P14" s="66"/>
      <c r="Q14" s="71"/>
      <c r="S14" s="71"/>
      <c r="T14" s="72">
        <v>186.9</v>
      </c>
      <c r="U14" s="71"/>
      <c r="V14" s="72">
        <v>163.9</v>
      </c>
      <c r="W14" s="62"/>
      <c r="X14" s="72">
        <v>167.5</v>
      </c>
      <c r="Y14" s="69" t="s">
        <v>3</v>
      </c>
      <c r="Z14" s="69">
        <v>173.53</v>
      </c>
      <c r="AA14" s="69" t="s">
        <v>3</v>
      </c>
      <c r="AB14" s="69">
        <v>160.63999999999999</v>
      </c>
      <c r="AC14" s="22" t="s">
        <v>6</v>
      </c>
      <c r="AD14" s="22">
        <v>186.17</v>
      </c>
      <c r="AE14" s="22" t="s">
        <v>6</v>
      </c>
      <c r="AF14" s="22">
        <v>160.63999999999999</v>
      </c>
      <c r="AG14" s="63" t="s">
        <v>6</v>
      </c>
      <c r="AH14" s="22">
        <v>132.87</v>
      </c>
      <c r="AI14" s="66" t="s">
        <v>6</v>
      </c>
    </row>
    <row r="15" spans="1:172" s="78" customFormat="1" x14ac:dyDescent="0.2">
      <c r="A15" s="74"/>
      <c r="B15" s="74"/>
      <c r="C15" s="74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4"/>
      <c r="Q15" s="77"/>
      <c r="S15" s="77"/>
      <c r="T15" s="78">
        <v>0.35399999999999998</v>
      </c>
      <c r="U15" s="77"/>
      <c r="V15" s="78">
        <v>0.443</v>
      </c>
      <c r="W15" s="79"/>
      <c r="X15" s="78">
        <v>0.34699999999999998</v>
      </c>
      <c r="Y15" s="80" t="s">
        <v>3</v>
      </c>
      <c r="Z15" s="80">
        <v>0.27600000000000002</v>
      </c>
      <c r="AA15" s="80" t="s">
        <v>3</v>
      </c>
      <c r="AB15" s="80">
        <v>0.26</v>
      </c>
      <c r="AC15" s="80" t="s">
        <v>6</v>
      </c>
      <c r="AD15" s="80">
        <v>0.221</v>
      </c>
      <c r="AE15" s="80" t="s">
        <v>6</v>
      </c>
      <c r="AF15" s="80">
        <v>0.224</v>
      </c>
      <c r="AG15" s="74" t="s">
        <v>6</v>
      </c>
      <c r="AH15" s="80">
        <v>0.255</v>
      </c>
      <c r="AI15" s="74" t="s">
        <v>6</v>
      </c>
    </row>
    <row r="16" spans="1:172" s="65" customFormat="1" x14ac:dyDescent="0.2">
      <c r="A16" s="64" t="s">
        <v>74</v>
      </c>
      <c r="B16" s="64" t="s">
        <v>78</v>
      </c>
      <c r="C16" s="81" t="s">
        <v>77</v>
      </c>
      <c r="D16" s="82"/>
      <c r="E16" s="83">
        <v>161358287</v>
      </c>
      <c r="F16" s="82"/>
      <c r="G16" s="83">
        <v>161358287</v>
      </c>
      <c r="H16" s="84"/>
      <c r="I16" s="83">
        <v>161358287</v>
      </c>
      <c r="J16" s="84"/>
      <c r="K16" s="83">
        <v>161358287</v>
      </c>
      <c r="L16" s="84"/>
      <c r="M16" s="83">
        <v>161358287</v>
      </c>
      <c r="N16" s="82"/>
      <c r="O16" s="83">
        <v>161358287</v>
      </c>
      <c r="P16" s="59"/>
      <c r="Q16" s="60"/>
      <c r="R16" s="19"/>
      <c r="S16" s="61"/>
      <c r="T16" s="19">
        <v>24432025</v>
      </c>
      <c r="U16" s="61"/>
      <c r="V16" s="19">
        <v>24432025</v>
      </c>
      <c r="W16" s="62"/>
      <c r="X16" s="19">
        <v>24432025</v>
      </c>
      <c r="Y16" s="22" t="s">
        <v>3</v>
      </c>
      <c r="Z16" s="19">
        <v>24432025</v>
      </c>
      <c r="AA16" s="22" t="s">
        <v>3</v>
      </c>
      <c r="AB16" s="19">
        <v>24458667</v>
      </c>
      <c r="AC16" s="22" t="s">
        <v>6</v>
      </c>
      <c r="AD16" s="19">
        <v>24402157</v>
      </c>
      <c r="AE16" s="22" t="s">
        <v>6</v>
      </c>
      <c r="AF16" s="19">
        <v>25783578</v>
      </c>
      <c r="AG16" s="63" t="s">
        <v>6</v>
      </c>
      <c r="AH16" s="19">
        <v>25783578</v>
      </c>
      <c r="AI16" s="64" t="s">
        <v>6</v>
      </c>
    </row>
    <row r="17" spans="2:30" x14ac:dyDescent="0.2">
      <c r="Q17" s="31"/>
    </row>
    <row r="18" spans="2:30" ht="12.75" customHeight="1" x14ac:dyDescent="0.2">
      <c r="B18" s="88"/>
      <c r="C18" s="89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2"/>
      <c r="Q18" s="88"/>
      <c r="R18" s="93"/>
      <c r="S18" s="26"/>
      <c r="T18" s="23"/>
      <c r="U18" s="14"/>
      <c r="V18" s="23"/>
      <c r="W18" s="47"/>
      <c r="X18" s="47"/>
      <c r="Y18" s="47"/>
      <c r="Z18" s="47"/>
      <c r="AA18" s="47"/>
      <c r="AB18" s="47"/>
      <c r="AC18" s="47"/>
      <c r="AD18" s="14"/>
    </row>
    <row r="19" spans="2:30" x14ac:dyDescent="0.2">
      <c r="D19" s="94"/>
      <c r="F19" s="94"/>
      <c r="H19" s="94"/>
      <c r="J19" s="94"/>
      <c r="L19" s="94"/>
      <c r="N19" s="94"/>
      <c r="Q19" s="31"/>
      <c r="U19" s="49"/>
      <c r="Y19" s="87"/>
      <c r="AA19" s="26"/>
    </row>
    <row r="20" spans="2:30" x14ac:dyDescent="0.2">
      <c r="D20" s="94"/>
      <c r="F20" s="94"/>
      <c r="H20" s="94"/>
      <c r="J20" s="94"/>
      <c r="L20" s="94"/>
      <c r="N20" s="94"/>
      <c r="Q20" s="31"/>
      <c r="U20" s="49"/>
      <c r="Y20" s="87"/>
      <c r="AA20" s="26"/>
    </row>
    <row r="21" spans="2:30" x14ac:dyDescent="0.2">
      <c r="D21" s="94"/>
      <c r="F21" s="94"/>
      <c r="H21" s="94"/>
      <c r="J21" s="94"/>
      <c r="L21" s="94"/>
      <c r="N21" s="94"/>
      <c r="Q21" s="31"/>
      <c r="U21" s="49"/>
      <c r="Y21" s="87"/>
      <c r="AA21" s="26"/>
    </row>
    <row r="22" spans="2:30" x14ac:dyDescent="0.2">
      <c r="D22" s="94"/>
      <c r="F22" s="94"/>
      <c r="H22" s="94"/>
      <c r="J22" s="94"/>
      <c r="L22" s="94"/>
      <c r="N22" s="94"/>
      <c r="Q22" s="31"/>
      <c r="U22" s="49"/>
      <c r="Y22" s="87"/>
      <c r="AA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FN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4.1406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2.85546875" style="85" customWidth="1"/>
    <col min="9" max="9" width="12.42578125" style="45" customWidth="1"/>
    <col min="10" max="10" width="13.85546875" style="85" customWidth="1"/>
    <col min="11" max="11" width="12.42578125" style="45" customWidth="1"/>
    <col min="12" max="12" width="12.85546875" style="85" customWidth="1"/>
    <col min="13" max="13" width="12.42578125" style="45" customWidth="1"/>
    <col min="14" max="14" width="12.42578125" style="26" customWidth="1"/>
    <col min="15" max="15" width="11.42578125" style="86" customWidth="1"/>
    <col min="16" max="16" width="11.42578125" style="26" customWidth="1"/>
    <col min="17" max="17" width="9.140625" style="86" hidden="1" customWidth="1"/>
    <col min="18" max="18" width="9.140625" style="26" hidden="1" customWidth="1"/>
    <col min="19" max="19" width="9.140625" style="86" hidden="1" customWidth="1"/>
    <col min="20" max="20" width="9.140625" style="26" hidden="1" customWidth="1"/>
    <col min="21" max="21" width="11.5703125" style="49" hidden="1" customWidth="1"/>
    <col min="22" max="22" width="9.140625" style="26" hidden="1" customWidth="1"/>
    <col min="23" max="23" width="9.140625" style="49" hidden="1" customWidth="1"/>
    <col min="24" max="24" width="9.140625" style="26" hidden="1" customWidth="1"/>
    <col min="25" max="25" width="11.5703125" style="87" hidden="1" customWidth="1"/>
    <col min="26" max="28" width="9.140625" style="26" hidden="1" customWidth="1"/>
    <col min="29" max="32" width="11.42578125" style="26" hidden="1" customWidth="1"/>
    <col min="33" max="33" width="11.42578125" style="26" customWidth="1"/>
    <col min="34" max="35" width="9.140625" style="26" hidden="1" customWidth="1"/>
    <col min="36" max="16384" width="11.42578125" style="26"/>
  </cols>
  <sheetData>
    <row r="1" spans="1:170" s="13" customFormat="1" x14ac:dyDescent="0.2">
      <c r="A1" s="2" t="s">
        <v>0</v>
      </c>
      <c r="B1" s="2" t="s">
        <v>1</v>
      </c>
      <c r="C1" s="2" t="s">
        <v>2</v>
      </c>
      <c r="D1" s="3"/>
      <c r="E1" s="4">
        <v>41639</v>
      </c>
      <c r="F1" s="3"/>
      <c r="G1" s="4">
        <v>41547</v>
      </c>
      <c r="H1" s="3"/>
      <c r="I1" s="4">
        <v>41455</v>
      </c>
      <c r="J1" s="3"/>
      <c r="K1" s="4">
        <v>41364</v>
      </c>
      <c r="L1" s="3"/>
      <c r="M1" s="4">
        <v>41274</v>
      </c>
      <c r="N1" s="5"/>
      <c r="O1" s="6"/>
      <c r="P1" s="5"/>
      <c r="Q1" s="7"/>
      <c r="R1" s="8">
        <v>36420</v>
      </c>
      <c r="S1" s="7"/>
      <c r="T1" s="8">
        <v>36341</v>
      </c>
      <c r="U1" s="8"/>
      <c r="V1" s="8">
        <v>36231</v>
      </c>
      <c r="W1" s="8"/>
      <c r="X1" s="8">
        <v>36160</v>
      </c>
      <c r="Y1" s="9"/>
      <c r="Z1" s="8">
        <v>36052</v>
      </c>
      <c r="AA1" s="10" t="s">
        <v>3</v>
      </c>
      <c r="AB1" s="11">
        <v>35976</v>
      </c>
      <c r="AC1" s="10" t="s">
        <v>3</v>
      </c>
      <c r="AD1" s="11">
        <v>35884</v>
      </c>
      <c r="AE1" s="12" t="s">
        <v>3</v>
      </c>
      <c r="AF1" s="11">
        <v>35795</v>
      </c>
      <c r="AH1" s="13">
        <v>40.3399</v>
      </c>
      <c r="AI1" s="13">
        <v>6.5595699999999999</v>
      </c>
    </row>
    <row r="2" spans="1:170" x14ac:dyDescent="0.2">
      <c r="A2" s="14" t="s">
        <v>79</v>
      </c>
      <c r="B2" s="14" t="str">
        <f>A2</f>
        <v>Total</v>
      </c>
      <c r="C2" s="14" t="str">
        <f t="shared" ref="C2:C8" si="0">A2</f>
        <v>Total</v>
      </c>
      <c r="D2" s="43">
        <v>44.53</v>
      </c>
      <c r="E2" s="16">
        <v>3818</v>
      </c>
      <c r="F2" s="43">
        <v>42.9</v>
      </c>
      <c r="G2" s="16">
        <v>4030</v>
      </c>
      <c r="H2" s="43">
        <v>37.51</v>
      </c>
      <c r="I2" s="16">
        <v>3523</v>
      </c>
      <c r="J2" s="43">
        <v>37.36</v>
      </c>
      <c r="K2" s="16">
        <v>3509</v>
      </c>
      <c r="L2" s="43"/>
      <c r="M2" s="16">
        <v>3665</v>
      </c>
      <c r="N2" s="17"/>
      <c r="O2" s="29"/>
      <c r="P2" s="30"/>
      <c r="Q2" s="29">
        <v>120.9</v>
      </c>
      <c r="R2" s="30">
        <v>2351</v>
      </c>
      <c r="S2" s="29">
        <v>125.1</v>
      </c>
      <c r="T2" s="30">
        <v>2399</v>
      </c>
      <c r="U2" s="44">
        <f>460.3/4.5</f>
        <v>102.28888888888889</v>
      </c>
      <c r="V2" s="30">
        <v>1921</v>
      </c>
      <c r="W2" s="32">
        <v>86.76</v>
      </c>
      <c r="X2" s="33">
        <v>1590</v>
      </c>
      <c r="Y2" s="32" t="e">
        <f>12875/(#REF!*4.5)</f>
        <v>#REF!</v>
      </c>
      <c r="Z2" s="33" t="e">
        <f>52109/#REF!</f>
        <v>#REF!</v>
      </c>
      <c r="AA2" s="32" t="e">
        <f>15275/(#REF!*4.5)</f>
        <v>#REF!</v>
      </c>
      <c r="AB2" s="33" t="e">
        <f>61445/#REF!</f>
        <v>#REF!</v>
      </c>
      <c r="AC2" s="32" t="e">
        <f>13950/#REF!</f>
        <v>#REF!</v>
      </c>
      <c r="AD2" s="33" t="e">
        <f>38455/#REF!</f>
        <v>#REF!</v>
      </c>
      <c r="AE2" s="29" t="e">
        <f>13675/#REF!</f>
        <v>#REF!</v>
      </c>
      <c r="AF2" s="33" t="e">
        <f>35072/#REF!</f>
        <v>#REF!</v>
      </c>
      <c r="AG2" s="14" t="s">
        <v>6</v>
      </c>
    </row>
    <row r="3" spans="1:170" x14ac:dyDescent="0.2">
      <c r="A3" s="1" t="s">
        <v>81</v>
      </c>
      <c r="B3" s="14" t="str">
        <f>A3</f>
        <v>Lafarge</v>
      </c>
      <c r="C3" s="14" t="str">
        <f t="shared" si="0"/>
        <v>Lafarge</v>
      </c>
      <c r="D3" s="43">
        <v>54.47</v>
      </c>
      <c r="E3" s="34">
        <v>3285</v>
      </c>
      <c r="F3" s="43">
        <v>51.49</v>
      </c>
      <c r="G3" s="34">
        <v>3105</v>
      </c>
      <c r="H3" s="43">
        <v>47.24</v>
      </c>
      <c r="I3" s="34">
        <v>2849</v>
      </c>
      <c r="J3" s="43">
        <v>51.83</v>
      </c>
      <c r="K3" s="34">
        <v>3126</v>
      </c>
      <c r="L3" s="43"/>
      <c r="M3" s="34">
        <v>2909</v>
      </c>
      <c r="N3" s="17"/>
      <c r="O3" s="29"/>
      <c r="P3" s="30"/>
      <c r="Q3" s="29">
        <v>149.1</v>
      </c>
      <c r="R3" s="30">
        <v>624</v>
      </c>
      <c r="S3" s="29">
        <v>144</v>
      </c>
      <c r="T3" s="30">
        <v>603</v>
      </c>
      <c r="U3" s="31">
        <v>99.6</v>
      </c>
      <c r="V3" s="30">
        <v>417</v>
      </c>
      <c r="W3" s="32">
        <f>560/AI1</f>
        <v>85.371449652949821</v>
      </c>
      <c r="X3" s="33">
        <f>14416/AH1</f>
        <v>357.36330531310193</v>
      </c>
      <c r="Y3" s="32">
        <f>563/AI1</f>
        <v>85.828796704662039</v>
      </c>
      <c r="Z3" s="33">
        <f>14484/AH1</f>
        <v>359.04898128155992</v>
      </c>
      <c r="AA3" s="32">
        <f>831/AI1</f>
        <v>126.68513332428803</v>
      </c>
      <c r="AB3" s="33">
        <f>19136/AH1</f>
        <v>474.3690490060709</v>
      </c>
      <c r="AC3" s="32">
        <f>818/AI1</f>
        <v>124.7032961002017</v>
      </c>
      <c r="AD3" s="33">
        <f>16662/AH1</f>
        <v>413.04019097717151</v>
      </c>
      <c r="AE3" s="29">
        <f>748/AI1</f>
        <v>114.03186489358296</v>
      </c>
      <c r="AF3" s="33">
        <f>15243/AH1</f>
        <v>377.8640998118488</v>
      </c>
      <c r="AG3" s="14" t="s">
        <v>6</v>
      </c>
    </row>
    <row r="4" spans="1:170" x14ac:dyDescent="0.2">
      <c r="A4" s="14" t="s">
        <v>84</v>
      </c>
      <c r="B4" s="14" t="str">
        <f>A4</f>
        <v xml:space="preserve">Imerys </v>
      </c>
      <c r="C4" s="14" t="str">
        <f t="shared" si="0"/>
        <v xml:space="preserve">Imerys </v>
      </c>
      <c r="D4" s="43">
        <v>63.21</v>
      </c>
      <c r="E4" s="16">
        <v>2709</v>
      </c>
      <c r="F4" s="43">
        <v>51.61</v>
      </c>
      <c r="G4" s="16">
        <v>2212</v>
      </c>
      <c r="H4" s="43">
        <v>47.08</v>
      </c>
      <c r="I4" s="16">
        <v>2017</v>
      </c>
      <c r="J4" s="43">
        <v>50.79</v>
      </c>
      <c r="K4" s="16">
        <v>2176</v>
      </c>
      <c r="L4" s="43"/>
      <c r="M4" s="16">
        <v>2065</v>
      </c>
      <c r="N4" s="17"/>
      <c r="O4" s="29"/>
      <c r="P4" s="33"/>
      <c r="Q4" s="29">
        <v>159.9</v>
      </c>
      <c r="R4" s="33">
        <v>2134</v>
      </c>
      <c r="S4" s="29">
        <v>174.9</v>
      </c>
      <c r="T4" s="33">
        <v>2278</v>
      </c>
      <c r="U4" s="32">
        <v>173.2</v>
      </c>
      <c r="V4" s="33">
        <v>2197</v>
      </c>
      <c r="W4" s="32">
        <f>1148/AI1</f>
        <v>175.01147178854711</v>
      </c>
      <c r="X4" s="33">
        <f>85728/AH1</f>
        <v>2125.1416091760266</v>
      </c>
      <c r="Y4" s="32">
        <f>1029/AI1</f>
        <v>156.87003873729529</v>
      </c>
      <c r="Z4" s="33">
        <f>76396/AH1</f>
        <v>1893.8073718576397</v>
      </c>
      <c r="AA4" s="32">
        <f>995/AI1</f>
        <v>151.68677215122332</v>
      </c>
      <c r="AB4" s="33">
        <f>73440/AH1</f>
        <v>1820.5300459346702</v>
      </c>
      <c r="AC4" s="32">
        <f>889/AI1</f>
        <v>135.52717632405782</v>
      </c>
      <c r="AD4" s="33">
        <f>41140/AH1</f>
        <v>1019.8339609171069</v>
      </c>
      <c r="AE4" s="29">
        <f>666/AI1</f>
        <v>101.53104548011531</v>
      </c>
      <c r="AF4" s="33">
        <f>28071/AH1</f>
        <v>695.86191339096035</v>
      </c>
      <c r="AG4" s="14" t="s">
        <v>6</v>
      </c>
    </row>
    <row r="5" spans="1:170" s="121" customFormat="1" x14ac:dyDescent="0.2">
      <c r="A5" s="14" t="s">
        <v>93</v>
      </c>
      <c r="B5" s="14" t="str">
        <f>A5</f>
        <v>SGS</v>
      </c>
      <c r="C5" s="14" t="str">
        <f t="shared" si="0"/>
        <v>SGS</v>
      </c>
      <c r="D5" s="111" t="s">
        <v>103</v>
      </c>
      <c r="E5" s="16">
        <v>1962</v>
      </c>
      <c r="F5" s="111" t="s">
        <v>104</v>
      </c>
      <c r="G5" s="16">
        <v>2070</v>
      </c>
      <c r="H5" s="111" t="s">
        <v>105</v>
      </c>
      <c r="I5" s="16">
        <v>1937</v>
      </c>
      <c r="J5" s="112"/>
      <c r="K5" s="16"/>
      <c r="L5" s="112"/>
      <c r="M5" s="16"/>
      <c r="N5" s="113"/>
      <c r="O5" s="114"/>
      <c r="P5" s="113"/>
      <c r="Q5" s="115"/>
      <c r="R5" s="116"/>
      <c r="S5" s="115"/>
      <c r="T5" s="116"/>
      <c r="U5" s="116"/>
      <c r="V5" s="116"/>
      <c r="W5" s="116"/>
      <c r="X5" s="116"/>
      <c r="Y5" s="117"/>
      <c r="Z5" s="116"/>
      <c r="AA5" s="118"/>
      <c r="AB5" s="119"/>
      <c r="AC5" s="118"/>
      <c r="AD5" s="119"/>
      <c r="AE5" s="120"/>
      <c r="AF5" s="119"/>
    </row>
    <row r="6" spans="1:170" x14ac:dyDescent="0.2">
      <c r="A6" s="14" t="s">
        <v>82</v>
      </c>
      <c r="B6" s="14" t="str">
        <f>A6</f>
        <v>Pernod Ricard</v>
      </c>
      <c r="C6" s="14" t="str">
        <f t="shared" si="0"/>
        <v>Pernod Ricard</v>
      </c>
      <c r="D6" s="15">
        <v>82.81</v>
      </c>
      <c r="E6" s="27">
        <v>1647</v>
      </c>
      <c r="F6" s="15">
        <v>91.79</v>
      </c>
      <c r="G6" s="27">
        <v>1826</v>
      </c>
      <c r="H6" s="15">
        <v>85.19</v>
      </c>
      <c r="I6" s="27">
        <v>1695</v>
      </c>
      <c r="J6" s="15">
        <v>97.21</v>
      </c>
      <c r="K6" s="27">
        <v>1934</v>
      </c>
      <c r="L6" s="15"/>
      <c r="M6" s="27">
        <v>1739</v>
      </c>
      <c r="N6" s="28"/>
      <c r="O6" s="29"/>
      <c r="P6" s="30"/>
      <c r="Q6" s="29">
        <v>48.35</v>
      </c>
      <c r="R6" s="30">
        <v>1302</v>
      </c>
      <c r="S6" s="29">
        <v>46.55</v>
      </c>
      <c r="T6" s="30">
        <v>1242</v>
      </c>
      <c r="U6" s="31">
        <v>37.450000000000003</v>
      </c>
      <c r="V6" s="30">
        <v>991</v>
      </c>
      <c r="W6" s="32">
        <f>1550/AH1</f>
        <v>38.423496339852107</v>
      </c>
      <c r="X6" s="33">
        <f>40072/AH1</f>
        <v>993.35893247132492</v>
      </c>
      <c r="Y6" s="32">
        <f>1498/AH1</f>
        <v>37.134450011031262</v>
      </c>
      <c r="Z6" s="33">
        <f>38499/AH1</f>
        <v>954.36528102449438</v>
      </c>
      <c r="AA6" s="32">
        <f>1520/AH1</f>
        <v>37.679815765532389</v>
      </c>
      <c r="AB6" s="33">
        <f>38837/AH1</f>
        <v>962.74408216182985</v>
      </c>
      <c r="AC6" s="32">
        <f>1510/AH1</f>
        <v>37.43192224075915</v>
      </c>
      <c r="AD6" s="33">
        <f>26966/AH1</f>
        <v>668.46967890351732</v>
      </c>
      <c r="AE6" s="29">
        <f>1510/AH1</f>
        <v>37.43192224075915</v>
      </c>
      <c r="AF6" s="33">
        <f>25184/AH1</f>
        <v>624.29505278892611</v>
      </c>
      <c r="AG6" s="1" t="s">
        <v>6</v>
      </c>
    </row>
    <row r="7" spans="1:170" s="42" customFormat="1" x14ac:dyDescent="0.2">
      <c r="A7" s="14" t="s">
        <v>89</v>
      </c>
      <c r="B7" s="14" t="s">
        <v>89</v>
      </c>
      <c r="C7" s="14" t="str">
        <f t="shared" si="0"/>
        <v>GDF SUEZ</v>
      </c>
      <c r="D7" s="15">
        <v>17.100000000000001</v>
      </c>
      <c r="E7" s="34">
        <v>935</v>
      </c>
      <c r="F7" s="15" t="s">
        <v>101</v>
      </c>
      <c r="G7" s="34">
        <v>1002</v>
      </c>
      <c r="H7" s="15">
        <v>15.05</v>
      </c>
      <c r="I7" s="34">
        <v>823</v>
      </c>
      <c r="J7" s="15">
        <v>15.02</v>
      </c>
      <c r="K7" s="34">
        <v>1760</v>
      </c>
      <c r="L7" s="15"/>
      <c r="M7" s="34">
        <v>1825</v>
      </c>
      <c r="N7" s="35"/>
      <c r="O7" s="36"/>
      <c r="P7" s="37"/>
      <c r="Q7" s="38"/>
      <c r="R7" s="39"/>
      <c r="S7" s="38"/>
      <c r="T7" s="39"/>
      <c r="U7" s="40"/>
      <c r="V7" s="39"/>
      <c r="W7" s="38"/>
      <c r="X7" s="41"/>
      <c r="Y7" s="38"/>
      <c r="Z7" s="41"/>
      <c r="AA7" s="38"/>
      <c r="AB7" s="41"/>
      <c r="AC7" s="38"/>
      <c r="AD7" s="41"/>
      <c r="AE7" s="38"/>
      <c r="AF7" s="41"/>
      <c r="AG7" s="41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</row>
    <row r="8" spans="1:170" s="42" customFormat="1" x14ac:dyDescent="0.2">
      <c r="A8" s="14" t="s">
        <v>90</v>
      </c>
      <c r="B8" s="14" t="s">
        <v>90</v>
      </c>
      <c r="C8" s="14" t="str">
        <f t="shared" si="0"/>
        <v>Suez Environnement</v>
      </c>
      <c r="D8" s="15" t="s">
        <v>96</v>
      </c>
      <c r="E8" s="34">
        <v>401</v>
      </c>
      <c r="F8" s="15" t="s">
        <v>102</v>
      </c>
      <c r="G8" s="34">
        <v>401</v>
      </c>
      <c r="H8" s="15">
        <v>9.92</v>
      </c>
      <c r="I8" s="34">
        <v>347</v>
      </c>
      <c r="J8" s="15">
        <v>9.9499999999999993</v>
      </c>
      <c r="K8" s="34">
        <v>348</v>
      </c>
      <c r="L8" s="15"/>
      <c r="M8" s="34">
        <v>319</v>
      </c>
      <c r="N8" s="35"/>
      <c r="O8" s="36"/>
      <c r="P8" s="37"/>
      <c r="Q8" s="38"/>
      <c r="R8" s="39"/>
      <c r="S8" s="38"/>
      <c r="T8" s="39"/>
      <c r="U8" s="40"/>
      <c r="V8" s="39"/>
      <c r="W8" s="38"/>
      <c r="X8" s="41"/>
      <c r="Y8" s="38"/>
      <c r="Z8" s="41"/>
      <c r="AA8" s="38"/>
      <c r="AB8" s="41"/>
      <c r="AC8" s="38"/>
      <c r="AD8" s="41"/>
      <c r="AE8" s="38"/>
      <c r="AF8" s="41"/>
      <c r="AG8" s="41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</row>
    <row r="9" spans="1:170" x14ac:dyDescent="0.2">
      <c r="A9" s="1" t="s">
        <v>98</v>
      </c>
      <c r="B9" s="14" t="s">
        <v>100</v>
      </c>
      <c r="C9" s="14" t="s">
        <v>94</v>
      </c>
      <c r="D9" s="43"/>
      <c r="E9" s="45">
        <v>254</v>
      </c>
      <c r="F9" s="43"/>
      <c r="G9" s="45">
        <v>225</v>
      </c>
      <c r="H9" s="43"/>
      <c r="I9" s="45">
        <v>159</v>
      </c>
      <c r="J9" s="43"/>
      <c r="L9" s="43"/>
      <c r="M9" s="45">
        <v>71</v>
      </c>
      <c r="N9" s="17"/>
      <c r="O9" s="29"/>
      <c r="P9" s="33"/>
      <c r="Q9" s="47"/>
      <c r="R9" s="47" t="s">
        <v>16</v>
      </c>
      <c r="S9" s="48"/>
      <c r="T9" s="47" t="s">
        <v>16</v>
      </c>
      <c r="V9" s="47" t="s">
        <v>16</v>
      </c>
      <c r="W9" s="23"/>
      <c r="X9" s="47" t="s">
        <v>16</v>
      </c>
      <c r="Y9" s="23"/>
      <c r="Z9" s="47"/>
      <c r="AA9" s="23"/>
      <c r="AB9" s="47"/>
      <c r="AC9" s="23"/>
      <c r="AD9" s="33"/>
      <c r="AE9" s="25"/>
      <c r="AF9" s="33"/>
      <c r="AG9" s="14"/>
    </row>
    <row r="10" spans="1:170" x14ac:dyDescent="0.2">
      <c r="A10" s="14" t="s">
        <v>97</v>
      </c>
      <c r="B10" s="14" t="s">
        <v>99</v>
      </c>
      <c r="C10" s="14" t="s">
        <v>95</v>
      </c>
      <c r="D10" s="15"/>
      <c r="E10" s="16">
        <v>402</v>
      </c>
      <c r="F10" s="15"/>
      <c r="G10" s="16">
        <v>370</v>
      </c>
      <c r="H10" s="15"/>
      <c r="I10" s="16">
        <v>327</v>
      </c>
      <c r="J10" s="15"/>
      <c r="K10" s="16">
        <f>383+43</f>
        <v>426</v>
      </c>
      <c r="L10" s="15"/>
      <c r="M10" s="16">
        <v>315</v>
      </c>
      <c r="N10" s="17"/>
      <c r="O10" s="29"/>
      <c r="P10" s="30"/>
      <c r="Q10" s="48"/>
      <c r="R10" s="30">
        <v>266</v>
      </c>
      <c r="S10" s="48"/>
      <c r="T10" s="30">
        <v>257</v>
      </c>
      <c r="V10" s="30">
        <f>25+190</f>
        <v>215</v>
      </c>
      <c r="W10" s="23" t="s">
        <v>3</v>
      </c>
      <c r="X10" s="33">
        <f>7517/AH1+1</f>
        <v>187.34156257204407</v>
      </c>
      <c r="Y10" s="23" t="s">
        <v>3</v>
      </c>
      <c r="Z10" s="33">
        <f>10221/AH1</f>
        <v>253.37197167072799</v>
      </c>
      <c r="AA10" s="23" t="s">
        <v>6</v>
      </c>
      <c r="AB10" s="33">
        <f>13264/AH1</f>
        <v>328.80597125922475</v>
      </c>
      <c r="AC10" s="23" t="s">
        <v>6</v>
      </c>
      <c r="AD10" s="33">
        <f>15670/AH1+1</f>
        <v>389.44915331966615</v>
      </c>
      <c r="AE10" s="25" t="s">
        <v>6</v>
      </c>
      <c r="AF10" s="33">
        <f>22978/AH1</f>
        <v>569.60974122394953</v>
      </c>
      <c r="AG10" s="14" t="s">
        <v>6</v>
      </c>
    </row>
    <row r="11" spans="1:170" s="53" customFormat="1" ht="25.5" x14ac:dyDescent="0.2">
      <c r="A11" s="50" t="s">
        <v>91</v>
      </c>
      <c r="B11" s="50" t="s">
        <v>86</v>
      </c>
      <c r="C11" s="50" t="s">
        <v>87</v>
      </c>
      <c r="D11" s="51"/>
      <c r="E11" s="16">
        <v>-496</v>
      </c>
      <c r="F11" s="51"/>
      <c r="G11" s="16">
        <v>-895.6</v>
      </c>
      <c r="H11" s="51"/>
      <c r="I11" s="16">
        <f>I12-SUM(I2:I10)</f>
        <v>-947</v>
      </c>
      <c r="J11" s="51"/>
      <c r="K11" s="16">
        <f>K12-SUM(K2:K10)</f>
        <v>321</v>
      </c>
      <c r="L11" s="51"/>
      <c r="M11" s="16">
        <f>366-401-950+1324</f>
        <v>339</v>
      </c>
      <c r="N11" s="17"/>
      <c r="O11" s="29"/>
      <c r="P11" s="30"/>
      <c r="Q11" s="52"/>
      <c r="R11" s="53">
        <v>392</v>
      </c>
      <c r="S11" s="52"/>
      <c r="T11" s="53">
        <v>414</v>
      </c>
      <c r="U11" s="54"/>
      <c r="V11" s="53">
        <v>527</v>
      </c>
      <c r="W11" s="55" t="s">
        <v>3</v>
      </c>
      <c r="X11" s="55">
        <f>24308/AH1</f>
        <v>602.57958001879035</v>
      </c>
      <c r="Y11" s="55" t="s">
        <v>3</v>
      </c>
      <c r="Z11" s="55">
        <f>22554/AH1</f>
        <v>559.09905577356415</v>
      </c>
      <c r="AA11" s="55" t="s">
        <v>6</v>
      </c>
      <c r="AB11" s="55">
        <f>29104/AH1</f>
        <v>721.46931450003592</v>
      </c>
      <c r="AC11" s="55" t="s">
        <v>6</v>
      </c>
      <c r="AD11" s="55">
        <f>48989/AH1+1</f>
        <v>1215.4055885116225</v>
      </c>
      <c r="AE11" s="50" t="s">
        <v>6</v>
      </c>
      <c r="AF11" s="55">
        <f>37124/AH1+1</f>
        <v>921.27992136817397</v>
      </c>
      <c r="AG11" s="50" t="s">
        <v>6</v>
      </c>
    </row>
    <row r="12" spans="1:170" s="129" customFormat="1" x14ac:dyDescent="0.2">
      <c r="A12" s="56" t="s">
        <v>25</v>
      </c>
      <c r="B12" s="56" t="s">
        <v>135</v>
      </c>
      <c r="C12" s="56" t="s">
        <v>26</v>
      </c>
      <c r="D12" s="57"/>
      <c r="E12" s="58">
        <v>14917</v>
      </c>
      <c r="F12" s="57"/>
      <c r="G12" s="58">
        <v>14345</v>
      </c>
      <c r="H12" s="57"/>
      <c r="I12" s="58">
        <v>12730</v>
      </c>
      <c r="J12" s="57"/>
      <c r="K12" s="58">
        <v>13600</v>
      </c>
      <c r="L12" s="57"/>
      <c r="M12" s="58">
        <f>SUM(M2:M11)</f>
        <v>13247</v>
      </c>
      <c r="N12" s="122"/>
      <c r="O12" s="123"/>
      <c r="P12" s="124"/>
      <c r="Q12" s="125"/>
      <c r="R12" s="124" t="e">
        <f>SUM(R6:R8:#REF!)-#REF!-R7</f>
        <v>#REF!</v>
      </c>
      <c r="S12" s="125"/>
      <c r="T12" s="124" t="e">
        <f>SUM(T6:T8:#REF!)-#REF!-T7</f>
        <v>#REF!</v>
      </c>
      <c r="U12" s="126"/>
      <c r="V12" s="124" t="e">
        <f>SUM(V6:V8:#REF!)-#REF!-V7</f>
        <v>#REF!</v>
      </c>
      <c r="W12" s="127" t="s">
        <v>3</v>
      </c>
      <c r="X12" s="124" t="e">
        <f>SUM(X6:X8:#REF!)-#REF!-X7-1</f>
        <v>#REF!</v>
      </c>
      <c r="Y12" s="127" t="s">
        <v>3</v>
      </c>
      <c r="Z12" s="124">
        <f>SUM(Z4:Z11)</f>
        <v>3660.643680326426</v>
      </c>
      <c r="AA12" s="127" t="s">
        <v>6</v>
      </c>
      <c r="AB12" s="124">
        <f>SUM(AB4:AB11)</f>
        <v>3833.549413855761</v>
      </c>
      <c r="AC12" s="127" t="s">
        <v>6</v>
      </c>
      <c r="AD12" s="124">
        <f>SUM(AD4:AD11)-2</f>
        <v>3291.1583816519124</v>
      </c>
      <c r="AE12" s="128" t="s">
        <v>6</v>
      </c>
      <c r="AF12" s="124">
        <f>SUM(AF4:AF11)-1</f>
        <v>2810.0466287720101</v>
      </c>
      <c r="AG12" s="56" t="s">
        <v>6</v>
      </c>
      <c r="AH12" s="129">
        <f>236182/AH1</f>
        <v>5854.7988467993227</v>
      </c>
      <c r="AI12" s="129">
        <f>214263/AH1</f>
        <v>5311.4410298488592</v>
      </c>
    </row>
    <row r="13" spans="1:170" s="72" customFormat="1" ht="25.5" customHeight="1" x14ac:dyDescent="0.2">
      <c r="A13" s="66" t="s">
        <v>27</v>
      </c>
      <c r="B13" s="66" t="s">
        <v>137</v>
      </c>
      <c r="C13" s="66" t="s">
        <v>28</v>
      </c>
      <c r="D13" s="67"/>
      <c r="E13" s="68">
        <f>E12/E16*1000000</f>
        <v>92.446444972485367</v>
      </c>
      <c r="F13" s="67"/>
      <c r="G13" s="68">
        <v>88.91</v>
      </c>
      <c r="H13" s="67"/>
      <c r="I13" s="68">
        <v>78.89</v>
      </c>
      <c r="J13" s="67"/>
      <c r="K13" s="68">
        <v>84.28</v>
      </c>
      <c r="L13" s="67"/>
      <c r="M13" s="68">
        <f>M12/M16*1000000</f>
        <v>82.096806097104889</v>
      </c>
      <c r="N13" s="69"/>
      <c r="O13" s="70"/>
      <c r="P13" s="22"/>
      <c r="Q13" s="71"/>
      <c r="R13" s="22">
        <v>289.33</v>
      </c>
      <c r="S13" s="71"/>
      <c r="T13" s="22">
        <v>256.52999999999997</v>
      </c>
      <c r="U13" s="62"/>
      <c r="V13" s="22">
        <v>256.52999999999997</v>
      </c>
      <c r="W13" s="22" t="s">
        <v>3</v>
      </c>
      <c r="X13" s="22">
        <v>239.64</v>
      </c>
      <c r="Y13" s="22" t="s">
        <v>3</v>
      </c>
      <c r="Z13" s="22">
        <v>217.47</v>
      </c>
      <c r="AA13" s="22"/>
      <c r="AB13" s="22">
        <v>238.97</v>
      </c>
      <c r="AC13" s="22" t="s">
        <v>6</v>
      </c>
      <c r="AD13" s="22">
        <v>206.87</v>
      </c>
      <c r="AE13" s="63" t="s">
        <v>6</v>
      </c>
      <c r="AF13" s="22">
        <v>178.36</v>
      </c>
      <c r="AG13" s="63" t="s">
        <v>6</v>
      </c>
    </row>
    <row r="14" spans="1:170" s="72" customFormat="1" x14ac:dyDescent="0.2">
      <c r="A14" s="66" t="s">
        <v>29</v>
      </c>
      <c r="B14" s="66" t="s">
        <v>30</v>
      </c>
      <c r="C14" s="66" t="s">
        <v>31</v>
      </c>
      <c r="D14" s="67"/>
      <c r="E14" s="73">
        <v>66.73</v>
      </c>
      <c r="F14" s="67"/>
      <c r="G14" s="73">
        <v>62.87</v>
      </c>
      <c r="H14" s="67"/>
      <c r="I14" s="73">
        <v>57.81</v>
      </c>
      <c r="J14" s="67"/>
      <c r="K14" s="73">
        <v>59.65</v>
      </c>
      <c r="L14" s="67"/>
      <c r="M14" s="73">
        <v>60.14</v>
      </c>
      <c r="N14" s="66"/>
      <c r="O14" s="71"/>
      <c r="Q14" s="71"/>
      <c r="R14" s="72">
        <v>186.9</v>
      </c>
      <c r="S14" s="71"/>
      <c r="T14" s="72">
        <v>163.9</v>
      </c>
      <c r="U14" s="62"/>
      <c r="V14" s="72">
        <v>167.5</v>
      </c>
      <c r="W14" s="69" t="s">
        <v>3</v>
      </c>
      <c r="X14" s="69">
        <v>173.53</v>
      </c>
      <c r="Y14" s="69" t="s">
        <v>3</v>
      </c>
      <c r="Z14" s="69">
        <v>160.63999999999999</v>
      </c>
      <c r="AA14" s="22" t="s">
        <v>6</v>
      </c>
      <c r="AB14" s="22">
        <v>186.17</v>
      </c>
      <c r="AC14" s="22" t="s">
        <v>6</v>
      </c>
      <c r="AD14" s="22">
        <v>160.63999999999999</v>
      </c>
      <c r="AE14" s="63" t="s">
        <v>6</v>
      </c>
      <c r="AF14" s="22">
        <v>132.87</v>
      </c>
      <c r="AG14" s="66" t="s">
        <v>6</v>
      </c>
    </row>
    <row r="15" spans="1:170" s="78" customFormat="1" x14ac:dyDescent="0.2">
      <c r="A15" s="74"/>
      <c r="B15" s="74"/>
      <c r="C15" s="74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4"/>
      <c r="O15" s="77"/>
      <c r="Q15" s="77"/>
      <c r="R15" s="78">
        <v>0.35399999999999998</v>
      </c>
      <c r="S15" s="77"/>
      <c r="T15" s="78">
        <v>0.443</v>
      </c>
      <c r="U15" s="79"/>
      <c r="V15" s="78">
        <v>0.34699999999999998</v>
      </c>
      <c r="W15" s="80" t="s">
        <v>3</v>
      </c>
      <c r="X15" s="80">
        <v>0.27600000000000002</v>
      </c>
      <c r="Y15" s="80" t="s">
        <v>3</v>
      </c>
      <c r="Z15" s="80">
        <v>0.26</v>
      </c>
      <c r="AA15" s="80" t="s">
        <v>6</v>
      </c>
      <c r="AB15" s="80">
        <v>0.221</v>
      </c>
      <c r="AC15" s="80" t="s">
        <v>6</v>
      </c>
      <c r="AD15" s="80">
        <v>0.224</v>
      </c>
      <c r="AE15" s="74" t="s">
        <v>6</v>
      </c>
      <c r="AF15" s="80">
        <v>0.255</v>
      </c>
      <c r="AG15" s="74" t="s">
        <v>6</v>
      </c>
    </row>
    <row r="16" spans="1:170" s="65" customFormat="1" x14ac:dyDescent="0.2">
      <c r="A16" s="64" t="s">
        <v>74</v>
      </c>
      <c r="B16" s="64" t="s">
        <v>78</v>
      </c>
      <c r="C16" s="81" t="s">
        <v>77</v>
      </c>
      <c r="D16" s="82"/>
      <c r="E16" s="83">
        <v>161358287</v>
      </c>
      <c r="F16" s="82"/>
      <c r="G16" s="83">
        <v>161358287</v>
      </c>
      <c r="H16" s="84"/>
      <c r="I16" s="83">
        <v>161358287</v>
      </c>
      <c r="J16" s="84"/>
      <c r="K16" s="83">
        <v>161358287</v>
      </c>
      <c r="L16" s="82"/>
      <c r="M16" s="83">
        <v>161358287</v>
      </c>
      <c r="N16" s="59"/>
      <c r="O16" s="60"/>
      <c r="P16" s="19"/>
      <c r="Q16" s="61"/>
      <c r="R16" s="19">
        <v>24432025</v>
      </c>
      <c r="S16" s="61"/>
      <c r="T16" s="19">
        <v>24432025</v>
      </c>
      <c r="U16" s="62"/>
      <c r="V16" s="19">
        <v>24432025</v>
      </c>
      <c r="W16" s="22" t="s">
        <v>3</v>
      </c>
      <c r="X16" s="19">
        <v>24432025</v>
      </c>
      <c r="Y16" s="22" t="s">
        <v>3</v>
      </c>
      <c r="Z16" s="19">
        <v>24458667</v>
      </c>
      <c r="AA16" s="22" t="s">
        <v>6</v>
      </c>
      <c r="AB16" s="19">
        <v>24402157</v>
      </c>
      <c r="AC16" s="22" t="s">
        <v>6</v>
      </c>
      <c r="AD16" s="19">
        <v>25783578</v>
      </c>
      <c r="AE16" s="63" t="s">
        <v>6</v>
      </c>
      <c r="AF16" s="19">
        <v>25783578</v>
      </c>
      <c r="AG16" s="64" t="s">
        <v>6</v>
      </c>
    </row>
    <row r="17" spans="2:28" x14ac:dyDescent="0.2">
      <c r="O17" s="31"/>
    </row>
    <row r="18" spans="2:28" ht="12.75" customHeight="1" x14ac:dyDescent="0.2">
      <c r="B18" s="88"/>
      <c r="C18" s="89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2"/>
      <c r="O18" s="88"/>
      <c r="P18" s="93"/>
      <c r="Q18" s="26"/>
      <c r="R18" s="23"/>
      <c r="S18" s="14"/>
      <c r="T18" s="23"/>
      <c r="U18" s="47"/>
      <c r="V18" s="47"/>
      <c r="W18" s="47"/>
      <c r="X18" s="47"/>
      <c r="Y18" s="47"/>
      <c r="Z18" s="47"/>
      <c r="AA18" s="47"/>
      <c r="AB18" s="14"/>
    </row>
    <row r="19" spans="2:28" x14ac:dyDescent="0.2">
      <c r="D19" s="94"/>
      <c r="F19" s="94"/>
      <c r="H19" s="94"/>
      <c r="J19" s="94"/>
      <c r="L19" s="94"/>
      <c r="O19" s="31"/>
      <c r="S19" s="49"/>
      <c r="W19" s="87"/>
      <c r="Y19" s="26"/>
    </row>
    <row r="20" spans="2:28" x14ac:dyDescent="0.2">
      <c r="D20" s="94"/>
      <c r="F20" s="94"/>
      <c r="H20" s="94"/>
      <c r="J20" s="94"/>
      <c r="L20" s="94"/>
      <c r="O20" s="31"/>
      <c r="S20" s="49"/>
      <c r="W20" s="87"/>
      <c r="Y20" s="26"/>
    </row>
    <row r="21" spans="2:28" x14ac:dyDescent="0.2">
      <c r="D21" s="94"/>
      <c r="F21" s="94"/>
      <c r="H21" s="94"/>
      <c r="J21" s="94"/>
      <c r="L21" s="94"/>
      <c r="O21" s="31"/>
      <c r="S21" s="49"/>
      <c r="W21" s="87"/>
      <c r="Y21" s="26"/>
    </row>
    <row r="22" spans="2:28" x14ac:dyDescent="0.2">
      <c r="D22" s="94"/>
      <c r="F22" s="94"/>
      <c r="H22" s="94"/>
      <c r="J22" s="94"/>
      <c r="L22" s="94"/>
      <c r="O22" s="31"/>
      <c r="S22" s="49"/>
      <c r="W22" s="87"/>
      <c r="Y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FR22"/>
  <sheetViews>
    <sheetView showGridLines="0" zoomScaleNormal="100" workbookViewId="0">
      <selection activeCell="B1" sqref="B1"/>
    </sheetView>
  </sheetViews>
  <sheetFormatPr defaultColWidth="11.42578125" defaultRowHeight="12.75" x14ac:dyDescent="0.2"/>
  <cols>
    <col min="1" max="1" width="35.85546875" style="26" bestFit="1" customWidth="1"/>
    <col min="2" max="2" width="14.140625" style="85" customWidth="1"/>
    <col min="3" max="3" width="12.42578125" style="45" customWidth="1"/>
    <col min="4" max="4" width="14.140625" style="85" customWidth="1"/>
    <col min="5" max="5" width="12.42578125" style="45" customWidth="1"/>
    <col min="6" max="6" width="14.140625" style="85" customWidth="1"/>
    <col min="7" max="7" width="12.42578125" style="45" customWidth="1"/>
    <col min="8" max="8" width="14.140625" style="85" customWidth="1"/>
    <col min="9" max="9" width="12.42578125" style="45" customWidth="1"/>
    <col min="10" max="10" width="13.42578125" style="85" customWidth="1"/>
    <col min="11" max="11" width="12.42578125" style="45" customWidth="1"/>
    <col min="12" max="12" width="12.85546875" style="85" customWidth="1"/>
    <col min="13" max="13" width="12.42578125" style="45" customWidth="1"/>
    <col min="14" max="14" width="13.85546875" style="85" customWidth="1"/>
    <col min="15" max="15" width="12.42578125" style="45" customWidth="1"/>
    <col min="16" max="16" width="12.85546875" style="85" customWidth="1"/>
    <col min="17" max="17" width="12.42578125" style="45" customWidth="1"/>
    <col min="18" max="18" width="12.42578125" style="26" customWidth="1"/>
    <col min="19" max="19" width="11.42578125" style="86" customWidth="1"/>
    <col min="20" max="20" width="11.42578125" style="26" customWidth="1"/>
    <col min="21" max="21" width="9.140625" style="86" hidden="1" customWidth="1"/>
    <col min="22" max="22" width="9.140625" style="26" hidden="1" customWidth="1"/>
    <col min="23" max="23" width="9.140625" style="86" hidden="1" customWidth="1"/>
    <col min="24" max="24" width="9.140625" style="26" hidden="1" customWidth="1"/>
    <col min="25" max="25" width="11.5703125" style="49" hidden="1" customWidth="1"/>
    <col min="26" max="26" width="9.140625" style="26" hidden="1" customWidth="1"/>
    <col min="27" max="27" width="9.140625" style="49" hidden="1" customWidth="1"/>
    <col min="28" max="28" width="9.140625" style="26" hidden="1" customWidth="1"/>
    <col min="29" max="29" width="11.5703125" style="87" hidden="1" customWidth="1"/>
    <col min="30" max="32" width="9.140625" style="26" hidden="1" customWidth="1"/>
    <col min="33" max="36" width="11.42578125" style="26" hidden="1" customWidth="1"/>
    <col min="37" max="37" width="11.42578125" style="26" customWidth="1"/>
    <col min="38" max="39" width="9.140625" style="26" hidden="1" customWidth="1"/>
    <col min="40" max="16384" width="11.42578125" style="26"/>
  </cols>
  <sheetData>
    <row r="1" spans="1:174" s="13" customFormat="1" x14ac:dyDescent="0.2">
      <c r="A1" s="2" t="s">
        <v>1</v>
      </c>
      <c r="B1" s="3"/>
      <c r="C1" s="4">
        <v>42004</v>
      </c>
      <c r="D1" s="3"/>
      <c r="E1" s="4">
        <v>41912</v>
      </c>
      <c r="F1" s="3"/>
      <c r="G1" s="4">
        <v>41820</v>
      </c>
      <c r="H1" s="3"/>
      <c r="I1" s="4">
        <v>41729</v>
      </c>
      <c r="J1" s="3"/>
      <c r="K1" s="4">
        <v>41639</v>
      </c>
      <c r="L1" s="3"/>
      <c r="M1" s="4"/>
      <c r="N1" s="3"/>
      <c r="O1" s="4"/>
      <c r="P1" s="3"/>
      <c r="Q1" s="4"/>
      <c r="R1" s="5"/>
      <c r="S1" s="6"/>
      <c r="T1" s="5"/>
      <c r="U1" s="7"/>
      <c r="V1" s="8">
        <v>36420</v>
      </c>
      <c r="W1" s="7"/>
      <c r="X1" s="8">
        <v>36341</v>
      </c>
      <c r="Y1" s="8"/>
      <c r="Z1" s="8">
        <v>36231</v>
      </c>
      <c r="AA1" s="8"/>
      <c r="AB1" s="8">
        <v>36160</v>
      </c>
      <c r="AC1" s="9"/>
      <c r="AD1" s="8">
        <v>36052</v>
      </c>
      <c r="AE1" s="10" t="s">
        <v>3</v>
      </c>
      <c r="AF1" s="11">
        <v>35976</v>
      </c>
      <c r="AG1" s="10" t="s">
        <v>3</v>
      </c>
      <c r="AH1" s="11">
        <v>35884</v>
      </c>
      <c r="AI1" s="12" t="s">
        <v>3</v>
      </c>
      <c r="AJ1" s="11">
        <v>35795</v>
      </c>
      <c r="AL1" s="13">
        <v>40.3399</v>
      </c>
      <c r="AM1" s="13">
        <v>6.5595699999999999</v>
      </c>
    </row>
    <row r="2" spans="1:174" x14ac:dyDescent="0.2">
      <c r="A2" s="14" t="s">
        <v>79</v>
      </c>
      <c r="B2" s="43">
        <v>42.52</v>
      </c>
      <c r="C2" s="16">
        <v>3052</v>
      </c>
      <c r="D2" s="43">
        <v>51.45</v>
      </c>
      <c r="E2" s="16">
        <v>3961</v>
      </c>
      <c r="F2" s="43">
        <v>52.78</v>
      </c>
      <c r="G2" s="16">
        <v>4078</v>
      </c>
      <c r="H2" s="43">
        <v>47.6</v>
      </c>
      <c r="I2" s="16">
        <v>3825</v>
      </c>
      <c r="J2" s="43">
        <v>44.53</v>
      </c>
      <c r="K2" s="16">
        <v>3818</v>
      </c>
      <c r="L2" s="43"/>
      <c r="M2" s="16"/>
      <c r="N2" s="43"/>
      <c r="O2" s="16"/>
      <c r="P2" s="43"/>
      <c r="Q2" s="16"/>
      <c r="R2" s="17"/>
      <c r="S2" s="29"/>
      <c r="T2" s="30"/>
      <c r="U2" s="29">
        <v>120.9</v>
      </c>
      <c r="V2" s="30">
        <v>2351</v>
      </c>
      <c r="W2" s="29">
        <v>125.1</v>
      </c>
      <c r="X2" s="30">
        <v>2399</v>
      </c>
      <c r="Y2" s="44">
        <f>460.3/4.5</f>
        <v>102.28888888888889</v>
      </c>
      <c r="Z2" s="30">
        <v>1921</v>
      </c>
      <c r="AA2" s="32">
        <v>86.76</v>
      </c>
      <c r="AB2" s="33">
        <v>1590</v>
      </c>
      <c r="AC2" s="32" t="e">
        <f>12875/(#REF!*4.5)</f>
        <v>#REF!</v>
      </c>
      <c r="AD2" s="33" t="e">
        <f>52109/#REF!</f>
        <v>#REF!</v>
      </c>
      <c r="AE2" s="32" t="e">
        <f>15275/(#REF!*4.5)</f>
        <v>#REF!</v>
      </c>
      <c r="AF2" s="33" t="e">
        <f>61445/#REF!</f>
        <v>#REF!</v>
      </c>
      <c r="AG2" s="32" t="e">
        <f>13950/#REF!</f>
        <v>#REF!</v>
      </c>
      <c r="AH2" s="33" t="e">
        <f>38455/#REF!</f>
        <v>#REF!</v>
      </c>
      <c r="AI2" s="29" t="e">
        <f>13675/#REF!</f>
        <v>#REF!</v>
      </c>
      <c r="AJ2" s="33" t="e">
        <f>35072/#REF!</f>
        <v>#REF!</v>
      </c>
      <c r="AK2" s="14" t="s">
        <v>6</v>
      </c>
    </row>
    <row r="3" spans="1:174" x14ac:dyDescent="0.2">
      <c r="A3" s="14" t="s">
        <v>81</v>
      </c>
      <c r="B3" s="43">
        <v>58.08</v>
      </c>
      <c r="C3" s="34">
        <v>3518</v>
      </c>
      <c r="D3" s="43">
        <v>57.02</v>
      </c>
      <c r="E3" s="34">
        <v>3454</v>
      </c>
      <c r="F3" s="43">
        <v>63.4</v>
      </c>
      <c r="G3" s="34">
        <v>3827</v>
      </c>
      <c r="H3" s="43">
        <v>56.7</v>
      </c>
      <c r="I3" s="34">
        <v>3419</v>
      </c>
      <c r="J3" s="43">
        <v>54.47</v>
      </c>
      <c r="K3" s="34">
        <v>3285</v>
      </c>
      <c r="L3" s="43"/>
      <c r="M3" s="34"/>
      <c r="N3" s="43"/>
      <c r="O3" s="34"/>
      <c r="P3" s="43"/>
      <c r="Q3" s="34"/>
      <c r="R3" s="17"/>
      <c r="S3" s="29"/>
      <c r="T3" s="30"/>
      <c r="U3" s="29">
        <v>149.1</v>
      </c>
      <c r="V3" s="30">
        <v>624</v>
      </c>
      <c r="W3" s="29">
        <v>144</v>
      </c>
      <c r="X3" s="30">
        <v>603</v>
      </c>
      <c r="Y3" s="31">
        <v>99.6</v>
      </c>
      <c r="Z3" s="30">
        <v>417</v>
      </c>
      <c r="AA3" s="32">
        <f>560/AM1</f>
        <v>85.371449652949821</v>
      </c>
      <c r="AB3" s="33">
        <f>14416/AL1</f>
        <v>357.36330531310193</v>
      </c>
      <c r="AC3" s="32">
        <f>563/AM1</f>
        <v>85.828796704662039</v>
      </c>
      <c r="AD3" s="33">
        <f>14484/AL1</f>
        <v>359.04898128155992</v>
      </c>
      <c r="AE3" s="32">
        <f>831/AM1</f>
        <v>126.68513332428803</v>
      </c>
      <c r="AF3" s="33">
        <f>19136/AL1</f>
        <v>474.3690490060709</v>
      </c>
      <c r="AG3" s="32">
        <f>818/AM1</f>
        <v>124.7032961002017</v>
      </c>
      <c r="AH3" s="33">
        <f>16662/AL1</f>
        <v>413.04019097717151</v>
      </c>
      <c r="AI3" s="29">
        <f>748/AM1</f>
        <v>114.03186489358296</v>
      </c>
      <c r="AJ3" s="33">
        <f>15243/AL1</f>
        <v>377.8640998118488</v>
      </c>
      <c r="AK3" s="14" t="s">
        <v>6</v>
      </c>
    </row>
    <row r="4" spans="1:174" x14ac:dyDescent="0.2">
      <c r="A4" s="14" t="s">
        <v>84</v>
      </c>
      <c r="B4" s="43">
        <v>61.01</v>
      </c>
      <c r="C4" s="16">
        <v>2614</v>
      </c>
      <c r="D4" s="43">
        <v>58.38</v>
      </c>
      <c r="E4" s="16">
        <v>2502</v>
      </c>
      <c r="F4" s="43">
        <v>61.54</v>
      </c>
      <c r="G4" s="16">
        <v>2637</v>
      </c>
      <c r="H4" s="43">
        <v>64.55</v>
      </c>
      <c r="I4" s="16">
        <v>2766</v>
      </c>
      <c r="J4" s="43">
        <v>63.21</v>
      </c>
      <c r="K4" s="16">
        <v>2709</v>
      </c>
      <c r="L4" s="43"/>
      <c r="M4" s="16"/>
      <c r="N4" s="43"/>
      <c r="O4" s="16"/>
      <c r="P4" s="43"/>
      <c r="Q4" s="16"/>
      <c r="R4" s="17"/>
      <c r="S4" s="29"/>
      <c r="T4" s="33"/>
      <c r="U4" s="29">
        <v>159.9</v>
      </c>
      <c r="V4" s="33">
        <v>2134</v>
      </c>
      <c r="W4" s="29">
        <v>174.9</v>
      </c>
      <c r="X4" s="33">
        <v>2278</v>
      </c>
      <c r="Y4" s="32">
        <v>173.2</v>
      </c>
      <c r="Z4" s="33">
        <v>2197</v>
      </c>
      <c r="AA4" s="32">
        <f>1148/AM1</f>
        <v>175.01147178854711</v>
      </c>
      <c r="AB4" s="33">
        <f>85728/AL1</f>
        <v>2125.1416091760266</v>
      </c>
      <c r="AC4" s="32">
        <f>1029/AM1</f>
        <v>156.87003873729529</v>
      </c>
      <c r="AD4" s="33">
        <f>76396/AL1</f>
        <v>1893.8073718576397</v>
      </c>
      <c r="AE4" s="32">
        <f>995/AM1</f>
        <v>151.68677215122332</v>
      </c>
      <c r="AF4" s="33">
        <f>73440/AL1</f>
        <v>1820.5300459346702</v>
      </c>
      <c r="AG4" s="32">
        <f>889/AM1</f>
        <v>135.52717632405782</v>
      </c>
      <c r="AH4" s="33">
        <f>41140/AL1</f>
        <v>1019.8339609171069</v>
      </c>
      <c r="AI4" s="29">
        <f>666/AM1</f>
        <v>101.53104548011531</v>
      </c>
      <c r="AJ4" s="33">
        <f>28071/AL1</f>
        <v>695.86191339096035</v>
      </c>
      <c r="AK4" s="14" t="s">
        <v>6</v>
      </c>
    </row>
    <row r="5" spans="1:174" s="121" customFormat="1" x14ac:dyDescent="0.2">
      <c r="A5" s="14" t="s">
        <v>93</v>
      </c>
      <c r="B5" s="111" t="s">
        <v>115</v>
      </c>
      <c r="C5" s="16">
        <v>1995</v>
      </c>
      <c r="D5" s="111" t="s">
        <v>112</v>
      </c>
      <c r="E5" s="16">
        <v>1928</v>
      </c>
      <c r="F5" s="111" t="s">
        <v>109</v>
      </c>
      <c r="G5" s="16">
        <v>2053</v>
      </c>
      <c r="H5" s="111" t="s">
        <v>106</v>
      </c>
      <c r="I5" s="16">
        <v>2099</v>
      </c>
      <c r="J5" s="111" t="s">
        <v>103</v>
      </c>
      <c r="K5" s="16">
        <v>1962</v>
      </c>
      <c r="L5" s="111"/>
      <c r="M5" s="16"/>
      <c r="N5" s="112"/>
      <c r="O5" s="16"/>
      <c r="P5" s="112"/>
      <c r="Q5" s="16"/>
      <c r="R5" s="113"/>
      <c r="S5" s="114"/>
      <c r="T5" s="113"/>
      <c r="U5" s="115"/>
      <c r="V5" s="116"/>
      <c r="W5" s="115"/>
      <c r="X5" s="116"/>
      <c r="Y5" s="116"/>
      <c r="Z5" s="116"/>
      <c r="AA5" s="116"/>
      <c r="AB5" s="116"/>
      <c r="AC5" s="117"/>
      <c r="AD5" s="116"/>
      <c r="AE5" s="118"/>
      <c r="AF5" s="119"/>
      <c r="AG5" s="118"/>
      <c r="AH5" s="119"/>
      <c r="AI5" s="120"/>
      <c r="AJ5" s="119"/>
    </row>
    <row r="6" spans="1:174" x14ac:dyDescent="0.2">
      <c r="A6" s="14" t="s">
        <v>82</v>
      </c>
      <c r="B6" s="15">
        <v>92.26</v>
      </c>
      <c r="C6" s="27">
        <v>1835</v>
      </c>
      <c r="D6" s="15">
        <v>89.64</v>
      </c>
      <c r="E6" s="27">
        <v>1783</v>
      </c>
      <c r="F6" s="15">
        <v>87.7</v>
      </c>
      <c r="G6" s="27">
        <v>1745</v>
      </c>
      <c r="H6" s="15">
        <v>84.5</v>
      </c>
      <c r="I6" s="27">
        <v>1681</v>
      </c>
      <c r="J6" s="15">
        <v>82.81</v>
      </c>
      <c r="K6" s="27">
        <v>1647</v>
      </c>
      <c r="L6" s="15"/>
      <c r="M6" s="27"/>
      <c r="N6" s="15"/>
      <c r="O6" s="27"/>
      <c r="P6" s="15"/>
      <c r="Q6" s="27"/>
      <c r="R6" s="28"/>
      <c r="S6" s="29"/>
      <c r="T6" s="30"/>
      <c r="U6" s="29">
        <v>48.35</v>
      </c>
      <c r="V6" s="30">
        <v>1302</v>
      </c>
      <c r="W6" s="29">
        <v>46.55</v>
      </c>
      <c r="X6" s="30">
        <v>1242</v>
      </c>
      <c r="Y6" s="31">
        <v>37.450000000000003</v>
      </c>
      <c r="Z6" s="30">
        <v>991</v>
      </c>
      <c r="AA6" s="32">
        <f>1550/AL1</f>
        <v>38.423496339852107</v>
      </c>
      <c r="AB6" s="33">
        <f>40072/AL1</f>
        <v>993.35893247132492</v>
      </c>
      <c r="AC6" s="32">
        <f>1498/AL1</f>
        <v>37.134450011031262</v>
      </c>
      <c r="AD6" s="33">
        <f>38499/AL1</f>
        <v>954.36528102449438</v>
      </c>
      <c r="AE6" s="32">
        <f>1520/AL1</f>
        <v>37.679815765532389</v>
      </c>
      <c r="AF6" s="33">
        <f>38837/AL1</f>
        <v>962.74408216182985</v>
      </c>
      <c r="AG6" s="32">
        <f>1510/AL1</f>
        <v>37.43192224075915</v>
      </c>
      <c r="AH6" s="33">
        <f>26966/AL1</f>
        <v>668.46967890351732</v>
      </c>
      <c r="AI6" s="29">
        <f>1510/AL1</f>
        <v>37.43192224075915</v>
      </c>
      <c r="AJ6" s="33">
        <f>25184/AL1</f>
        <v>624.29505278892611</v>
      </c>
      <c r="AK6" s="1" t="s">
        <v>6</v>
      </c>
    </row>
    <row r="7" spans="1:174" s="42" customFormat="1" x14ac:dyDescent="0.2">
      <c r="A7" s="14" t="s">
        <v>89</v>
      </c>
      <c r="B7" s="15" t="s">
        <v>116</v>
      </c>
      <c r="C7" s="34">
        <v>1002</v>
      </c>
      <c r="D7" s="15" t="s">
        <v>107</v>
      </c>
      <c r="E7" s="34">
        <v>1002</v>
      </c>
      <c r="F7" s="15" t="s">
        <v>110</v>
      </c>
      <c r="G7" s="34">
        <v>1002</v>
      </c>
      <c r="H7" s="15" t="s">
        <v>107</v>
      </c>
      <c r="I7" s="34">
        <v>1002</v>
      </c>
      <c r="J7" s="15">
        <v>17.100000000000001</v>
      </c>
      <c r="K7" s="34">
        <v>935</v>
      </c>
      <c r="L7" s="15"/>
      <c r="M7" s="34"/>
      <c r="N7" s="15"/>
      <c r="O7" s="34"/>
      <c r="P7" s="15"/>
      <c r="Q7" s="34"/>
      <c r="R7" s="35"/>
      <c r="S7" s="36"/>
      <c r="T7" s="37"/>
      <c r="U7" s="38"/>
      <c r="V7" s="39"/>
      <c r="W7" s="38"/>
      <c r="X7" s="39"/>
      <c r="Y7" s="40"/>
      <c r="Z7" s="39"/>
      <c r="AA7" s="38"/>
      <c r="AB7" s="41"/>
      <c r="AC7" s="38"/>
      <c r="AD7" s="41"/>
      <c r="AE7" s="38"/>
      <c r="AF7" s="41"/>
      <c r="AG7" s="38"/>
      <c r="AH7" s="41"/>
      <c r="AI7" s="38"/>
      <c r="AJ7" s="41"/>
      <c r="AK7" s="41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</row>
    <row r="8" spans="1:174" s="42" customFormat="1" x14ac:dyDescent="0.2">
      <c r="A8" s="14" t="s">
        <v>90</v>
      </c>
      <c r="B8" s="15" t="s">
        <v>117</v>
      </c>
      <c r="C8" s="34">
        <v>59</v>
      </c>
      <c r="D8" s="15" t="s">
        <v>113</v>
      </c>
      <c r="E8" s="34">
        <v>59</v>
      </c>
      <c r="F8" s="15" t="s">
        <v>111</v>
      </c>
      <c r="G8" s="34">
        <v>59</v>
      </c>
      <c r="H8" s="15" t="s">
        <v>108</v>
      </c>
      <c r="I8" s="34">
        <v>401</v>
      </c>
      <c r="J8" s="15" t="s">
        <v>96</v>
      </c>
      <c r="K8" s="34">
        <v>401</v>
      </c>
      <c r="L8" s="15"/>
      <c r="M8" s="34"/>
      <c r="N8" s="15"/>
      <c r="O8" s="34"/>
      <c r="P8" s="15"/>
      <c r="Q8" s="34"/>
      <c r="R8" s="35"/>
      <c r="S8" s="36"/>
      <c r="T8" s="37"/>
      <c r="U8" s="38"/>
      <c r="V8" s="39"/>
      <c r="W8" s="38"/>
      <c r="X8" s="39"/>
      <c r="Y8" s="40"/>
      <c r="Z8" s="39"/>
      <c r="AA8" s="38"/>
      <c r="AB8" s="41"/>
      <c r="AC8" s="38"/>
      <c r="AD8" s="41"/>
      <c r="AE8" s="38"/>
      <c r="AF8" s="41"/>
      <c r="AG8" s="38"/>
      <c r="AH8" s="41"/>
      <c r="AI8" s="38"/>
      <c r="AJ8" s="41"/>
      <c r="AK8" s="41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</row>
    <row r="9" spans="1:174" x14ac:dyDescent="0.2">
      <c r="A9" s="14" t="s">
        <v>100</v>
      </c>
      <c r="B9" s="43"/>
      <c r="C9" s="45">
        <v>551</v>
      </c>
      <c r="D9" s="43"/>
      <c r="E9" s="45">
        <v>416</v>
      </c>
      <c r="F9" s="43"/>
      <c r="G9" s="45">
        <v>362</v>
      </c>
      <c r="H9" s="43"/>
      <c r="I9" s="45">
        <v>266</v>
      </c>
      <c r="J9" s="43"/>
      <c r="K9" s="45">
        <v>254</v>
      </c>
      <c r="L9" s="43"/>
      <c r="N9" s="43"/>
      <c r="P9" s="43"/>
      <c r="R9" s="17"/>
      <c r="S9" s="29"/>
      <c r="T9" s="33"/>
      <c r="U9" s="47"/>
      <c r="V9" s="47" t="s">
        <v>16</v>
      </c>
      <c r="W9" s="48"/>
      <c r="X9" s="47" t="s">
        <v>16</v>
      </c>
      <c r="Z9" s="47" t="s">
        <v>16</v>
      </c>
      <c r="AA9" s="23"/>
      <c r="AB9" s="47" t="s">
        <v>16</v>
      </c>
      <c r="AC9" s="23"/>
      <c r="AD9" s="47"/>
      <c r="AE9" s="23"/>
      <c r="AF9" s="47"/>
      <c r="AG9" s="23"/>
      <c r="AH9" s="33"/>
      <c r="AI9" s="25"/>
      <c r="AJ9" s="33"/>
      <c r="AK9" s="14"/>
    </row>
    <row r="10" spans="1:174" x14ac:dyDescent="0.2">
      <c r="A10" s="14" t="s">
        <v>99</v>
      </c>
      <c r="B10" s="15"/>
      <c r="C10" s="16">
        <v>439</v>
      </c>
      <c r="D10" s="15"/>
      <c r="E10" s="16">
        <v>507</v>
      </c>
      <c r="F10" s="15"/>
      <c r="G10" s="16">
        <v>434</v>
      </c>
      <c r="H10" s="15"/>
      <c r="I10" s="16">
        <v>387</v>
      </c>
      <c r="J10" s="15"/>
      <c r="K10" s="16">
        <v>402</v>
      </c>
      <c r="L10" s="15"/>
      <c r="M10" s="16"/>
      <c r="N10" s="15"/>
      <c r="O10" s="16"/>
      <c r="P10" s="15"/>
      <c r="Q10" s="16"/>
      <c r="R10" s="17"/>
      <c r="S10" s="29"/>
      <c r="T10" s="30"/>
      <c r="U10" s="48"/>
      <c r="V10" s="30">
        <v>266</v>
      </c>
      <c r="W10" s="48"/>
      <c r="X10" s="30">
        <v>257</v>
      </c>
      <c r="Z10" s="30">
        <f>25+190</f>
        <v>215</v>
      </c>
      <c r="AA10" s="23" t="s">
        <v>3</v>
      </c>
      <c r="AB10" s="33">
        <f>7517/AL1+1</f>
        <v>187.34156257204407</v>
      </c>
      <c r="AC10" s="23" t="s">
        <v>3</v>
      </c>
      <c r="AD10" s="33">
        <f>10221/AL1</f>
        <v>253.37197167072799</v>
      </c>
      <c r="AE10" s="23" t="s">
        <v>6</v>
      </c>
      <c r="AF10" s="33">
        <f>13264/AL1</f>
        <v>328.80597125922475</v>
      </c>
      <c r="AG10" s="23" t="s">
        <v>6</v>
      </c>
      <c r="AH10" s="33">
        <f>15670/AL1+1</f>
        <v>389.44915331966615</v>
      </c>
      <c r="AI10" s="25" t="s">
        <v>6</v>
      </c>
      <c r="AJ10" s="33">
        <f>22978/AL1</f>
        <v>569.60974122394953</v>
      </c>
      <c r="AK10" s="14" t="s">
        <v>6</v>
      </c>
    </row>
    <row r="11" spans="1:174" s="53" customFormat="1" ht="25.5" x14ac:dyDescent="0.2">
      <c r="A11" s="50" t="s">
        <v>86</v>
      </c>
      <c r="B11" s="51"/>
      <c r="C11" s="16">
        <f>429-1509-550+1826</f>
        <v>196</v>
      </c>
      <c r="D11" s="51"/>
      <c r="E11" s="16">
        <f>443-1509-550+1602</f>
        <v>-14</v>
      </c>
      <c r="F11" s="51"/>
      <c r="G11" s="16">
        <f>458-1509-950+1990</f>
        <v>-11</v>
      </c>
      <c r="H11" s="51"/>
      <c r="I11" s="16">
        <v>-94</v>
      </c>
      <c r="J11" s="51"/>
      <c r="K11" s="16">
        <v>-496</v>
      </c>
      <c r="L11" s="51"/>
      <c r="M11" s="16"/>
      <c r="N11" s="51"/>
      <c r="O11" s="16"/>
      <c r="P11" s="51"/>
      <c r="Q11" s="16"/>
      <c r="R11" s="17"/>
      <c r="S11" s="29"/>
      <c r="T11" s="30"/>
      <c r="U11" s="52"/>
      <c r="V11" s="53">
        <v>392</v>
      </c>
      <c r="W11" s="52"/>
      <c r="X11" s="53">
        <v>414</v>
      </c>
      <c r="Y11" s="54"/>
      <c r="Z11" s="53">
        <v>527</v>
      </c>
      <c r="AA11" s="55" t="s">
        <v>3</v>
      </c>
      <c r="AB11" s="55">
        <f>24308/AL1</f>
        <v>602.57958001879035</v>
      </c>
      <c r="AC11" s="55" t="s">
        <v>3</v>
      </c>
      <c r="AD11" s="55">
        <f>22554/AL1</f>
        <v>559.09905577356415</v>
      </c>
      <c r="AE11" s="55" t="s">
        <v>6</v>
      </c>
      <c r="AF11" s="55">
        <f>29104/AL1</f>
        <v>721.46931450003592</v>
      </c>
      <c r="AG11" s="55" t="s">
        <v>6</v>
      </c>
      <c r="AH11" s="55">
        <f>48989/AL1+1</f>
        <v>1215.4055885116225</v>
      </c>
      <c r="AI11" s="50" t="s">
        <v>6</v>
      </c>
      <c r="AJ11" s="55">
        <f>37124/AL1+1</f>
        <v>921.27992136817397</v>
      </c>
      <c r="AK11" s="50" t="s">
        <v>6</v>
      </c>
    </row>
    <row r="12" spans="1:174" s="129" customFormat="1" x14ac:dyDescent="0.2">
      <c r="A12" s="56" t="s">
        <v>135</v>
      </c>
      <c r="B12" s="57"/>
      <c r="C12" s="58">
        <f>SUM(C2:C11)</f>
        <v>15261</v>
      </c>
      <c r="D12" s="57"/>
      <c r="E12" s="58">
        <f>SUM(E2:E11)</f>
        <v>15598</v>
      </c>
      <c r="F12" s="57"/>
      <c r="G12" s="58">
        <v>16186</v>
      </c>
      <c r="H12" s="57"/>
      <c r="I12" s="58">
        <v>15752</v>
      </c>
      <c r="J12" s="57"/>
      <c r="K12" s="58">
        <v>14917</v>
      </c>
      <c r="L12" s="57"/>
      <c r="M12" s="58"/>
      <c r="N12" s="57"/>
      <c r="O12" s="58"/>
      <c r="P12" s="57"/>
      <c r="Q12" s="58"/>
      <c r="R12" s="122"/>
      <c r="S12" s="123"/>
      <c r="T12" s="124"/>
      <c r="U12" s="125"/>
      <c r="V12" s="124" t="e">
        <f>SUM(V6:V8:#REF!)-#REF!-V7</f>
        <v>#REF!</v>
      </c>
      <c r="W12" s="125"/>
      <c r="X12" s="124" t="e">
        <f>SUM(X6:X8:#REF!)-#REF!-X7</f>
        <v>#REF!</v>
      </c>
      <c r="Y12" s="126"/>
      <c r="Z12" s="124" t="e">
        <f>SUM(Z6:Z8:#REF!)-#REF!-Z7</f>
        <v>#REF!</v>
      </c>
      <c r="AA12" s="127" t="s">
        <v>3</v>
      </c>
      <c r="AB12" s="124" t="e">
        <f>SUM(AB6:AB8:#REF!)-#REF!-AB7-1</f>
        <v>#REF!</v>
      </c>
      <c r="AC12" s="127" t="s">
        <v>3</v>
      </c>
      <c r="AD12" s="124">
        <f>SUM(AD4:AD11)</f>
        <v>3660.643680326426</v>
      </c>
      <c r="AE12" s="127" t="s">
        <v>6</v>
      </c>
      <c r="AF12" s="124">
        <f>SUM(AF4:AF11)</f>
        <v>3833.549413855761</v>
      </c>
      <c r="AG12" s="127" t="s">
        <v>6</v>
      </c>
      <c r="AH12" s="124">
        <f>SUM(AH4:AH11)-2</f>
        <v>3291.1583816519124</v>
      </c>
      <c r="AI12" s="128" t="s">
        <v>6</v>
      </c>
      <c r="AJ12" s="124">
        <f>SUM(AJ4:AJ11)-1</f>
        <v>2810.0466287720101</v>
      </c>
      <c r="AK12" s="56" t="s">
        <v>6</v>
      </c>
      <c r="AL12" s="129">
        <f>236182/AL1</f>
        <v>5854.7988467993227</v>
      </c>
      <c r="AM12" s="129">
        <f>214263/AL1</f>
        <v>5311.4410298488592</v>
      </c>
    </row>
    <row r="13" spans="1:174" s="72" customFormat="1" ht="25.5" customHeight="1" x14ac:dyDescent="0.2">
      <c r="A13" s="66" t="s">
        <v>136</v>
      </c>
      <c r="B13" s="67"/>
      <c r="C13" s="68">
        <v>94.58</v>
      </c>
      <c r="D13" s="67"/>
      <c r="E13" s="68">
        <v>96.67</v>
      </c>
      <c r="F13" s="67"/>
      <c r="G13" s="68">
        <v>100.31</v>
      </c>
      <c r="H13" s="67"/>
      <c r="I13" s="68">
        <v>97.62</v>
      </c>
      <c r="J13" s="67"/>
      <c r="K13" s="68">
        <v>92.446444972485367</v>
      </c>
      <c r="L13" s="67"/>
      <c r="M13" s="68"/>
      <c r="N13" s="67"/>
      <c r="O13" s="68"/>
      <c r="P13" s="67"/>
      <c r="Q13" s="68"/>
      <c r="R13" s="69"/>
      <c r="S13" s="70"/>
      <c r="T13" s="22"/>
      <c r="U13" s="71"/>
      <c r="V13" s="22">
        <v>289.33</v>
      </c>
      <c r="W13" s="71"/>
      <c r="X13" s="22">
        <v>256.52999999999997</v>
      </c>
      <c r="Y13" s="62"/>
      <c r="Z13" s="22">
        <v>256.52999999999997</v>
      </c>
      <c r="AA13" s="22" t="s">
        <v>3</v>
      </c>
      <c r="AB13" s="22">
        <v>239.64</v>
      </c>
      <c r="AC13" s="22" t="s">
        <v>3</v>
      </c>
      <c r="AD13" s="22">
        <v>217.47</v>
      </c>
      <c r="AE13" s="22"/>
      <c r="AF13" s="22">
        <v>238.97</v>
      </c>
      <c r="AG13" s="22" t="s">
        <v>6</v>
      </c>
      <c r="AH13" s="22">
        <v>206.87</v>
      </c>
      <c r="AI13" s="63" t="s">
        <v>6</v>
      </c>
      <c r="AJ13" s="22">
        <v>178.36</v>
      </c>
      <c r="AK13" s="63" t="s">
        <v>6</v>
      </c>
    </row>
    <row r="14" spans="1:174" s="72" customFormat="1" x14ac:dyDescent="0.2">
      <c r="A14" s="66" t="s">
        <v>114</v>
      </c>
      <c r="B14" s="67"/>
      <c r="C14" s="73">
        <v>70.75</v>
      </c>
      <c r="D14" s="67"/>
      <c r="E14" s="73">
        <v>72.56</v>
      </c>
      <c r="F14" s="67"/>
      <c r="G14" s="73">
        <v>75.89</v>
      </c>
      <c r="H14" s="67"/>
      <c r="I14" s="73">
        <v>72.48</v>
      </c>
      <c r="J14" s="67"/>
      <c r="K14" s="73">
        <v>66.73</v>
      </c>
      <c r="L14" s="67"/>
      <c r="M14" s="73"/>
      <c r="N14" s="67"/>
      <c r="O14" s="73"/>
      <c r="P14" s="67"/>
      <c r="Q14" s="73"/>
      <c r="R14" s="66"/>
      <c r="S14" s="71"/>
      <c r="U14" s="71"/>
      <c r="V14" s="72">
        <v>186.9</v>
      </c>
      <c r="W14" s="71"/>
      <c r="X14" s="72">
        <v>163.9</v>
      </c>
      <c r="Y14" s="62"/>
      <c r="Z14" s="72">
        <v>167.5</v>
      </c>
      <c r="AA14" s="69" t="s">
        <v>3</v>
      </c>
      <c r="AB14" s="69">
        <v>173.53</v>
      </c>
      <c r="AC14" s="69" t="s">
        <v>3</v>
      </c>
      <c r="AD14" s="69">
        <v>160.63999999999999</v>
      </c>
      <c r="AE14" s="22" t="s">
        <v>6</v>
      </c>
      <c r="AF14" s="22">
        <v>186.17</v>
      </c>
      <c r="AG14" s="22" t="s">
        <v>6</v>
      </c>
      <c r="AH14" s="22">
        <v>160.63999999999999</v>
      </c>
      <c r="AI14" s="63" t="s">
        <v>6</v>
      </c>
      <c r="AJ14" s="22">
        <v>132.87</v>
      </c>
      <c r="AK14" s="66" t="s">
        <v>6</v>
      </c>
    </row>
    <row r="15" spans="1:174" s="78" customFormat="1" x14ac:dyDescent="0.2">
      <c r="A15" s="74"/>
      <c r="B15" s="75"/>
      <c r="C15" s="76"/>
      <c r="D15" s="75"/>
      <c r="E15" s="76"/>
      <c r="F15" s="75"/>
      <c r="G15" s="76"/>
      <c r="H15" s="75"/>
      <c r="I15" s="76"/>
      <c r="J15" s="75"/>
      <c r="K15" s="76"/>
      <c r="L15" s="75"/>
      <c r="M15" s="76"/>
      <c r="N15" s="75"/>
      <c r="O15" s="76"/>
      <c r="P15" s="75"/>
      <c r="Q15" s="76"/>
      <c r="R15" s="74"/>
      <c r="S15" s="77"/>
      <c r="U15" s="77"/>
      <c r="V15" s="78">
        <v>0.35399999999999998</v>
      </c>
      <c r="W15" s="77"/>
      <c r="X15" s="78">
        <v>0.443</v>
      </c>
      <c r="Y15" s="79"/>
      <c r="Z15" s="78">
        <v>0.34699999999999998</v>
      </c>
      <c r="AA15" s="80" t="s">
        <v>3</v>
      </c>
      <c r="AB15" s="80">
        <v>0.27600000000000002</v>
      </c>
      <c r="AC15" s="80" t="s">
        <v>3</v>
      </c>
      <c r="AD15" s="80">
        <v>0.26</v>
      </c>
      <c r="AE15" s="80" t="s">
        <v>6</v>
      </c>
      <c r="AF15" s="80">
        <v>0.221</v>
      </c>
      <c r="AG15" s="80" t="s">
        <v>6</v>
      </c>
      <c r="AH15" s="80">
        <v>0.224</v>
      </c>
      <c r="AI15" s="74" t="s">
        <v>6</v>
      </c>
      <c r="AJ15" s="80">
        <v>0.255</v>
      </c>
      <c r="AK15" s="74" t="s">
        <v>6</v>
      </c>
    </row>
    <row r="16" spans="1:174" s="65" customFormat="1" x14ac:dyDescent="0.2">
      <c r="A16" s="64" t="s">
        <v>78</v>
      </c>
      <c r="B16" s="82"/>
      <c r="C16" s="83">
        <v>161358287</v>
      </c>
      <c r="D16" s="82"/>
      <c r="E16" s="83">
        <v>161358287</v>
      </c>
      <c r="F16" s="82"/>
      <c r="G16" s="83">
        <v>161358287</v>
      </c>
      <c r="H16" s="82"/>
      <c r="I16" s="83">
        <v>161358287</v>
      </c>
      <c r="J16" s="82"/>
      <c r="K16" s="83">
        <v>161358287</v>
      </c>
      <c r="L16" s="84"/>
      <c r="M16" s="83"/>
      <c r="N16" s="84"/>
      <c r="O16" s="83"/>
      <c r="P16" s="82"/>
      <c r="Q16" s="83"/>
      <c r="R16" s="59"/>
      <c r="S16" s="60"/>
      <c r="T16" s="19"/>
      <c r="U16" s="61"/>
      <c r="V16" s="19">
        <v>24432025</v>
      </c>
      <c r="W16" s="61"/>
      <c r="X16" s="19">
        <v>24432025</v>
      </c>
      <c r="Y16" s="62"/>
      <c r="Z16" s="19">
        <v>24432025</v>
      </c>
      <c r="AA16" s="22" t="s">
        <v>3</v>
      </c>
      <c r="AB16" s="19">
        <v>24432025</v>
      </c>
      <c r="AC16" s="22" t="s">
        <v>3</v>
      </c>
      <c r="AD16" s="19">
        <v>24458667</v>
      </c>
      <c r="AE16" s="22" t="s">
        <v>6</v>
      </c>
      <c r="AF16" s="19">
        <v>24402157</v>
      </c>
      <c r="AG16" s="22" t="s">
        <v>6</v>
      </c>
      <c r="AH16" s="19">
        <v>25783578</v>
      </c>
      <c r="AI16" s="63" t="s">
        <v>6</v>
      </c>
      <c r="AJ16" s="19">
        <v>25783578</v>
      </c>
      <c r="AK16" s="64" t="s">
        <v>6</v>
      </c>
    </row>
    <row r="17" spans="1:32" x14ac:dyDescent="0.2">
      <c r="S17" s="31"/>
    </row>
    <row r="18" spans="1:32" ht="12.75" customHeight="1" x14ac:dyDescent="0.2">
      <c r="A18" s="88"/>
      <c r="B18" s="90"/>
      <c r="C18" s="91"/>
      <c r="D18" s="90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0"/>
      <c r="Q18" s="91"/>
      <c r="R18" s="92"/>
      <c r="S18" s="88"/>
      <c r="T18" s="93"/>
      <c r="U18" s="26"/>
      <c r="V18" s="23"/>
      <c r="W18" s="14"/>
      <c r="X18" s="23"/>
      <c r="Y18" s="47"/>
      <c r="Z18" s="47"/>
      <c r="AA18" s="47"/>
      <c r="AB18" s="47"/>
      <c r="AC18" s="47"/>
      <c r="AD18" s="47"/>
      <c r="AE18" s="47"/>
      <c r="AF18" s="14"/>
    </row>
    <row r="19" spans="1:32" x14ac:dyDescent="0.2">
      <c r="B19" s="94"/>
      <c r="D19" s="94"/>
      <c r="F19" s="94"/>
      <c r="H19" s="94"/>
      <c r="J19" s="94"/>
      <c r="L19" s="94"/>
      <c r="N19" s="94"/>
      <c r="P19" s="94"/>
      <c r="S19" s="31"/>
      <c r="W19" s="49"/>
      <c r="AA19" s="87"/>
      <c r="AC19" s="26"/>
    </row>
    <row r="20" spans="1:32" x14ac:dyDescent="0.2">
      <c r="B20" s="94"/>
      <c r="D20" s="94"/>
      <c r="F20" s="94"/>
      <c r="H20" s="94"/>
      <c r="J20" s="94"/>
      <c r="L20" s="94"/>
      <c r="N20" s="94"/>
      <c r="P20" s="94"/>
      <c r="S20" s="31"/>
      <c r="W20" s="49"/>
      <c r="AA20" s="87"/>
      <c r="AC20" s="26"/>
    </row>
    <row r="21" spans="1:32" x14ac:dyDescent="0.2">
      <c r="B21" s="94"/>
      <c r="D21" s="94"/>
      <c r="F21" s="94"/>
      <c r="H21" s="94"/>
      <c r="J21" s="94"/>
      <c r="L21" s="94"/>
      <c r="N21" s="94"/>
      <c r="P21" s="94"/>
      <c r="S21" s="31"/>
      <c r="W21" s="49"/>
      <c r="AA21" s="87"/>
      <c r="AC21" s="26"/>
    </row>
    <row r="22" spans="1:32" x14ac:dyDescent="0.2">
      <c r="B22" s="94"/>
      <c r="D22" s="94"/>
      <c r="F22" s="94"/>
      <c r="H22" s="94"/>
      <c r="J22" s="94"/>
      <c r="L22" s="94"/>
      <c r="N22" s="94"/>
      <c r="P22" s="94"/>
      <c r="S22" s="31"/>
      <c r="W22" s="49"/>
      <c r="AA22" s="87"/>
      <c r="AC22" s="26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K26"/>
  <sheetViews>
    <sheetView showGridLines="0" zoomScaleNormal="100" workbookViewId="0"/>
  </sheetViews>
  <sheetFormatPr defaultColWidth="11.42578125" defaultRowHeight="12.75" x14ac:dyDescent="0.2"/>
  <cols>
    <col min="1" max="1" width="35.140625" style="97" customWidth="1"/>
    <col min="2" max="2" width="14.140625" style="85" customWidth="1"/>
    <col min="3" max="3" width="12.42578125" style="45" customWidth="1"/>
    <col min="4" max="4" width="14.1406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2.85546875" style="85" customWidth="1"/>
    <col min="9" max="9" width="12.42578125" style="45" customWidth="1"/>
    <col min="10" max="10" width="13.85546875" style="109" customWidth="1"/>
    <col min="11" max="11" width="12.42578125" style="110" customWidth="1"/>
    <col min="12" max="16384" width="11.42578125" style="97"/>
  </cols>
  <sheetData>
    <row r="1" spans="1:11" s="96" customFormat="1" x14ac:dyDescent="0.2">
      <c r="A1" s="2" t="s">
        <v>1</v>
      </c>
      <c r="B1" s="3"/>
      <c r="C1" s="4">
        <v>42369</v>
      </c>
      <c r="D1" s="3"/>
      <c r="E1" s="4">
        <v>42277</v>
      </c>
      <c r="F1" s="3"/>
      <c r="G1" s="4">
        <v>42185</v>
      </c>
      <c r="H1" s="3"/>
      <c r="I1" s="4">
        <v>42094</v>
      </c>
      <c r="J1" s="3"/>
      <c r="K1" s="4">
        <v>42004</v>
      </c>
    </row>
    <row r="2" spans="1:11" x14ac:dyDescent="0.2">
      <c r="A2" s="102" t="s">
        <v>79</v>
      </c>
      <c r="B2" s="43">
        <v>41.265000000000001</v>
      </c>
      <c r="C2" s="16">
        <v>2462.51606864</v>
      </c>
      <c r="D2" s="43">
        <v>40.200000000000003</v>
      </c>
      <c r="E2" s="16">
        <v>2812</v>
      </c>
      <c r="F2" s="43">
        <v>43.57</v>
      </c>
      <c r="G2" s="16">
        <v>3047</v>
      </c>
      <c r="H2" s="43">
        <v>46.28</v>
      </c>
      <c r="I2" s="16">
        <v>3237</v>
      </c>
      <c r="J2" s="43">
        <v>42.52</v>
      </c>
      <c r="K2" s="16">
        <v>3052</v>
      </c>
    </row>
    <row r="3" spans="1:11" x14ac:dyDescent="0.2">
      <c r="A3" s="101" t="s">
        <v>81</v>
      </c>
      <c r="B3" s="43">
        <v>46.72</v>
      </c>
      <c r="C3" s="34">
        <v>2674.18510272</v>
      </c>
      <c r="D3" s="43">
        <v>46.62</v>
      </c>
      <c r="E3" s="34">
        <v>2668</v>
      </c>
      <c r="F3" s="43">
        <v>59.24</v>
      </c>
      <c r="G3" s="34">
        <v>3588</v>
      </c>
      <c r="H3" s="43">
        <v>60.35</v>
      </c>
      <c r="I3" s="34">
        <v>3655</v>
      </c>
      <c r="J3" s="43">
        <v>58.08</v>
      </c>
      <c r="K3" s="34">
        <v>3518</v>
      </c>
    </row>
    <row r="4" spans="1:11" x14ac:dyDescent="0.2">
      <c r="A4" s="102" t="s">
        <v>84</v>
      </c>
      <c r="B4" s="43">
        <v>64.42</v>
      </c>
      <c r="C4" s="16">
        <v>2760.5305426599998</v>
      </c>
      <c r="D4" s="43">
        <v>57.39</v>
      </c>
      <c r="E4" s="16">
        <v>2459</v>
      </c>
      <c r="F4" s="43">
        <v>68.599999999999994</v>
      </c>
      <c r="G4" s="16">
        <v>2940</v>
      </c>
      <c r="H4" s="43">
        <v>68.349999999999994</v>
      </c>
      <c r="I4" s="16">
        <v>2929</v>
      </c>
      <c r="J4" s="43">
        <v>61.01</v>
      </c>
      <c r="K4" s="16">
        <v>2614</v>
      </c>
    </row>
    <row r="5" spans="1:11" s="98" customFormat="1" x14ac:dyDescent="0.2">
      <c r="A5" s="102" t="s">
        <v>93</v>
      </c>
      <c r="B5" s="99">
        <v>1911</v>
      </c>
      <c r="C5" s="16">
        <v>2066.9005164300002</v>
      </c>
      <c r="D5" s="99">
        <v>1700</v>
      </c>
      <c r="E5" s="16">
        <v>1832</v>
      </c>
      <c r="F5" s="99">
        <v>1706</v>
      </c>
      <c r="G5" s="16">
        <v>1922</v>
      </c>
      <c r="H5" s="99">
        <v>1860</v>
      </c>
      <c r="I5" s="16">
        <v>2091</v>
      </c>
      <c r="J5" s="99">
        <v>2045</v>
      </c>
      <c r="K5" s="16">
        <v>1995</v>
      </c>
    </row>
    <row r="6" spans="1:11" x14ac:dyDescent="0.2">
      <c r="A6" s="102" t="s">
        <v>82</v>
      </c>
      <c r="B6" s="15">
        <v>105.2</v>
      </c>
      <c r="C6" s="27">
        <v>2092.7299240000002</v>
      </c>
      <c r="D6" s="15">
        <v>90.18</v>
      </c>
      <c r="E6" s="27">
        <v>1794</v>
      </c>
      <c r="F6" s="15">
        <v>103.6</v>
      </c>
      <c r="G6" s="27">
        <v>2061</v>
      </c>
      <c r="H6" s="15">
        <v>110.15</v>
      </c>
      <c r="I6" s="27">
        <v>2191</v>
      </c>
      <c r="J6" s="15">
        <v>92.26</v>
      </c>
      <c r="K6" s="27">
        <v>1835</v>
      </c>
    </row>
    <row r="7" spans="1:11" s="108" customFormat="1" x14ac:dyDescent="0.2">
      <c r="A7" s="102" t="s">
        <v>122</v>
      </c>
      <c r="B7" s="15">
        <v>16.324999999999999</v>
      </c>
      <c r="C7" s="34">
        <v>892.5718564</v>
      </c>
      <c r="D7" s="15">
        <v>14.44</v>
      </c>
      <c r="E7" s="34">
        <v>790</v>
      </c>
      <c r="F7" s="15">
        <v>16.64</v>
      </c>
      <c r="G7" s="34">
        <v>910</v>
      </c>
      <c r="H7" s="15" t="s">
        <v>118</v>
      </c>
      <c r="I7" s="34">
        <v>1002</v>
      </c>
      <c r="J7" s="15" t="s">
        <v>116</v>
      </c>
      <c r="K7" s="34">
        <v>1002</v>
      </c>
    </row>
    <row r="8" spans="1:11" s="108" customFormat="1" x14ac:dyDescent="0.2">
      <c r="A8" s="102" t="s">
        <v>90</v>
      </c>
      <c r="B8" s="15">
        <v>17.260000000000002</v>
      </c>
      <c r="C8" s="34">
        <v>0</v>
      </c>
      <c r="D8" s="15">
        <v>16.03</v>
      </c>
      <c r="E8" s="34">
        <v>0</v>
      </c>
      <c r="F8" s="15" t="s">
        <v>125</v>
      </c>
      <c r="G8" s="34">
        <v>4</v>
      </c>
      <c r="H8" s="15" t="s">
        <v>119</v>
      </c>
      <c r="I8" s="34">
        <v>39</v>
      </c>
      <c r="J8" s="15" t="s">
        <v>117</v>
      </c>
      <c r="K8" s="34">
        <v>59</v>
      </c>
    </row>
    <row r="9" spans="1:11" x14ac:dyDescent="0.2">
      <c r="A9" s="14" t="s">
        <v>100</v>
      </c>
      <c r="B9" s="43"/>
      <c r="D9" s="43"/>
      <c r="F9" s="43"/>
      <c r="H9" s="43"/>
      <c r="J9" s="43"/>
      <c r="K9" s="45"/>
    </row>
    <row r="10" spans="1:11" x14ac:dyDescent="0.2">
      <c r="A10" s="1" t="s">
        <v>124</v>
      </c>
      <c r="B10" s="43">
        <v>89.91</v>
      </c>
      <c r="C10" s="16">
        <v>889.93277639999997</v>
      </c>
      <c r="D10" s="43">
        <v>72.010000000000005</v>
      </c>
      <c r="E10" s="45">
        <v>706</v>
      </c>
      <c r="F10" s="43">
        <v>68.650000000000006</v>
      </c>
      <c r="G10" s="45">
        <v>350</v>
      </c>
      <c r="H10" s="43">
        <v>73.69</v>
      </c>
      <c r="I10" s="45">
        <v>170</v>
      </c>
      <c r="J10" s="43">
        <v>57.62</v>
      </c>
      <c r="K10" s="45">
        <v>85</v>
      </c>
    </row>
    <row r="11" spans="1:11" x14ac:dyDescent="0.2">
      <c r="A11" s="101" t="s">
        <v>120</v>
      </c>
      <c r="B11" s="43">
        <v>38.664999999999999</v>
      </c>
      <c r="C11" s="45">
        <v>720</v>
      </c>
      <c r="D11" s="43">
        <v>34.445</v>
      </c>
      <c r="E11" s="45">
        <v>629</v>
      </c>
      <c r="F11" s="43">
        <v>42.53</v>
      </c>
      <c r="G11" s="45">
        <v>626</v>
      </c>
      <c r="H11" s="43">
        <v>38.880000000000003</v>
      </c>
      <c r="I11" s="45">
        <v>570</v>
      </c>
      <c r="J11" s="43">
        <v>33.305</v>
      </c>
      <c r="K11" s="45">
        <v>464</v>
      </c>
    </row>
    <row r="12" spans="1:11" x14ac:dyDescent="0.2">
      <c r="A12" s="101" t="s">
        <v>121</v>
      </c>
      <c r="B12" s="43">
        <v>32.76</v>
      </c>
      <c r="C12" s="45">
        <v>181</v>
      </c>
      <c r="D12" s="43">
        <v>27.45</v>
      </c>
      <c r="E12" s="45">
        <v>138</v>
      </c>
      <c r="F12" s="43">
        <v>26.92</v>
      </c>
      <c r="G12" s="45">
        <v>135</v>
      </c>
      <c r="H12" s="43">
        <v>28.27</v>
      </c>
      <c r="I12" s="45">
        <v>142</v>
      </c>
      <c r="J12" s="43"/>
      <c r="K12" s="45">
        <v>0</v>
      </c>
    </row>
    <row r="13" spans="1:11" x14ac:dyDescent="0.2">
      <c r="A13" s="101" t="s">
        <v>123</v>
      </c>
      <c r="B13" s="43"/>
      <c r="C13" s="45">
        <v>2</v>
      </c>
      <c r="D13" s="43"/>
      <c r="E13" s="45">
        <v>1</v>
      </c>
      <c r="F13" s="43"/>
      <c r="G13" s="45">
        <v>1</v>
      </c>
      <c r="H13" s="43"/>
      <c r="I13" s="45">
        <v>2</v>
      </c>
      <c r="J13" s="43"/>
      <c r="K13" s="45">
        <v>2</v>
      </c>
    </row>
    <row r="14" spans="1:11" x14ac:dyDescent="0.2">
      <c r="A14" s="14" t="s">
        <v>126</v>
      </c>
      <c r="B14" s="15"/>
      <c r="C14" s="16">
        <v>715</v>
      </c>
      <c r="D14" s="15"/>
      <c r="E14" s="16">
        <v>630</v>
      </c>
      <c r="F14" s="15"/>
      <c r="G14" s="16">
        <v>673</v>
      </c>
      <c r="H14" s="15"/>
      <c r="I14" s="16">
        <v>637</v>
      </c>
      <c r="J14" s="15"/>
      <c r="K14" s="16">
        <v>439</v>
      </c>
    </row>
    <row r="15" spans="1:11" s="103" customFormat="1" ht="25.5" x14ac:dyDescent="0.2">
      <c r="A15" s="50" t="s">
        <v>86</v>
      </c>
      <c r="B15" s="51"/>
      <c r="C15" s="16">
        <v>-269.07014858000002</v>
      </c>
      <c r="D15" s="51"/>
      <c r="E15" s="16">
        <v>-698</v>
      </c>
      <c r="F15" s="51"/>
      <c r="G15" s="16">
        <v>-343</v>
      </c>
      <c r="H15" s="51"/>
      <c r="I15" s="16">
        <f>I16-SUM(I2:I14)</f>
        <v>44</v>
      </c>
      <c r="J15" s="51"/>
      <c r="K15" s="16">
        <f>429-1509-550+1826</f>
        <v>196</v>
      </c>
    </row>
    <row r="16" spans="1:11" s="104" customFormat="1" x14ac:dyDescent="0.2">
      <c r="A16" s="56" t="s">
        <v>135</v>
      </c>
      <c r="B16" s="57"/>
      <c r="C16" s="58">
        <v>15188.296638670001</v>
      </c>
      <c r="D16" s="57"/>
      <c r="E16" s="58">
        <v>13761</v>
      </c>
      <c r="F16" s="57"/>
      <c r="G16" s="58">
        <v>15914</v>
      </c>
      <c r="H16" s="57"/>
      <c r="I16" s="58">
        <v>16709</v>
      </c>
      <c r="J16" s="57"/>
      <c r="K16" s="58">
        <v>15261</v>
      </c>
    </row>
    <row r="17" spans="1:11" s="105" customFormat="1" ht="25.5" customHeight="1" x14ac:dyDescent="0.2">
      <c r="A17" s="66" t="s">
        <v>136</v>
      </c>
      <c r="B17" s="67"/>
      <c r="C17" s="68">
        <v>94.127775654125543</v>
      </c>
      <c r="D17" s="67"/>
      <c r="E17" s="68">
        <v>85.28</v>
      </c>
      <c r="F17" s="67"/>
      <c r="G17" s="68">
        <v>98.63</v>
      </c>
      <c r="H17" s="67"/>
      <c r="I17" s="68">
        <v>103.55</v>
      </c>
      <c r="J17" s="67"/>
      <c r="K17" s="68">
        <v>94.58</v>
      </c>
    </row>
    <row r="18" spans="1:11" s="105" customFormat="1" x14ac:dyDescent="0.2">
      <c r="A18" s="66" t="s">
        <v>114</v>
      </c>
      <c r="B18" s="67"/>
      <c r="C18" s="73">
        <v>78.83</v>
      </c>
      <c r="D18" s="67"/>
      <c r="E18" s="73">
        <v>67.41</v>
      </c>
      <c r="F18" s="67"/>
      <c r="G18" s="73">
        <v>72.2</v>
      </c>
      <c r="H18" s="67"/>
      <c r="I18" s="73">
        <v>77.150000000000006</v>
      </c>
      <c r="J18" s="67"/>
      <c r="K18" s="73">
        <v>70.75</v>
      </c>
    </row>
    <row r="19" spans="1:11" s="106" customFormat="1" x14ac:dyDescent="0.2">
      <c r="A19" s="74"/>
      <c r="B19" s="75"/>
      <c r="C19" s="76"/>
      <c r="D19" s="75"/>
      <c r="E19" s="76"/>
      <c r="F19" s="75"/>
      <c r="G19" s="76"/>
      <c r="H19" s="75"/>
      <c r="I19" s="76"/>
      <c r="J19" s="75"/>
      <c r="K19" s="76"/>
    </row>
    <row r="20" spans="1:11" s="107" customFormat="1" x14ac:dyDescent="0.2">
      <c r="A20" s="64" t="s">
        <v>78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1" spans="1:11" x14ac:dyDescent="0.2">
      <c r="J21" s="85"/>
      <c r="K21" s="45"/>
    </row>
    <row r="22" spans="1:11" ht="12.75" customHeight="1" x14ac:dyDescent="0.2">
      <c r="B22" s="90"/>
      <c r="C22" s="91"/>
      <c r="D22" s="90"/>
      <c r="E22" s="91"/>
      <c r="F22" s="90"/>
      <c r="G22" s="91"/>
      <c r="H22" s="90"/>
      <c r="I22" s="91"/>
      <c r="J22" s="90"/>
      <c r="K22" s="91"/>
    </row>
    <row r="23" spans="1:11" x14ac:dyDescent="0.2">
      <c r="B23" s="94"/>
      <c r="D23" s="94"/>
      <c r="F23" s="94"/>
      <c r="H23" s="94"/>
      <c r="J23" s="94"/>
      <c r="K23" s="45"/>
    </row>
    <row r="24" spans="1:11" x14ac:dyDescent="0.2">
      <c r="B24" s="94"/>
      <c r="D24" s="94"/>
      <c r="F24" s="94"/>
      <c r="H24" s="94"/>
      <c r="J24" s="94"/>
      <c r="K24" s="45"/>
    </row>
    <row r="25" spans="1:11" x14ac:dyDescent="0.2">
      <c r="B25" s="94"/>
      <c r="D25" s="94"/>
      <c r="F25" s="94"/>
      <c r="H25" s="94"/>
      <c r="J25" s="94"/>
      <c r="K25" s="45"/>
    </row>
    <row r="26" spans="1:11" x14ac:dyDescent="0.2">
      <c r="B26" s="94"/>
      <c r="D26" s="94"/>
      <c r="F26" s="94"/>
      <c r="H26" s="94"/>
      <c r="J26" s="94"/>
      <c r="K26" s="45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7"/>
  <sheetViews>
    <sheetView showGridLines="0" zoomScaleNormal="100" workbookViewId="0">
      <selection activeCell="B1" sqref="B1"/>
    </sheetView>
  </sheetViews>
  <sheetFormatPr defaultColWidth="11.42578125" defaultRowHeight="12.75" x14ac:dyDescent="0.2"/>
  <cols>
    <col min="1" max="1" width="44.140625" style="97" bestFit="1" customWidth="1"/>
    <col min="2" max="2" width="13.42578125" style="85" customWidth="1"/>
    <col min="3" max="3" width="12.42578125" style="45" customWidth="1"/>
    <col min="4" max="4" width="13.425781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3.42578125" style="85" customWidth="1"/>
    <col min="9" max="9" width="12.42578125" style="45" customWidth="1"/>
    <col min="10" max="10" width="12.85546875" style="85" customWidth="1"/>
    <col min="11" max="11" width="12.42578125" style="45" customWidth="1"/>
    <col min="12" max="16384" width="11.42578125" style="97"/>
  </cols>
  <sheetData>
    <row r="1" spans="1:11" s="96" customFormat="1" x14ac:dyDescent="0.2">
      <c r="A1" s="95" t="s">
        <v>0</v>
      </c>
      <c r="B1" s="3"/>
      <c r="C1" s="4">
        <v>42735</v>
      </c>
      <c r="D1" s="3"/>
      <c r="E1" s="4">
        <v>42643</v>
      </c>
      <c r="F1" s="3"/>
      <c r="G1" s="4">
        <v>42551</v>
      </c>
      <c r="H1" s="3"/>
      <c r="I1" s="4">
        <v>42460</v>
      </c>
      <c r="J1" s="3"/>
      <c r="K1" s="4">
        <v>42369</v>
      </c>
    </row>
    <row r="2" spans="1:11" x14ac:dyDescent="0.2">
      <c r="A2" s="14" t="s">
        <v>84</v>
      </c>
      <c r="B2" s="43">
        <v>72.069999999999993</v>
      </c>
      <c r="C2" s="16">
        <v>3088</v>
      </c>
      <c r="D2" s="43">
        <v>64.290000000000006</v>
      </c>
      <c r="E2" s="16">
        <v>2755</v>
      </c>
      <c r="F2" s="43">
        <v>57.53</v>
      </c>
      <c r="G2" s="16">
        <v>2465</v>
      </c>
      <c r="H2" s="43">
        <v>61.29</v>
      </c>
      <c r="I2" s="16">
        <v>2626</v>
      </c>
      <c r="J2" s="43">
        <v>64.42</v>
      </c>
      <c r="K2" s="16">
        <v>2760.5305426599998</v>
      </c>
    </row>
    <row r="3" spans="1:11" x14ac:dyDescent="0.2">
      <c r="A3" s="1" t="s">
        <v>127</v>
      </c>
      <c r="B3" s="43">
        <v>49.92</v>
      </c>
      <c r="C3" s="34">
        <v>2857</v>
      </c>
      <c r="D3" s="43">
        <v>48.06</v>
      </c>
      <c r="E3" s="34">
        <v>2751</v>
      </c>
      <c r="F3" s="43">
        <v>37.1</v>
      </c>
      <c r="G3" s="34">
        <v>2124</v>
      </c>
      <c r="H3" s="43">
        <v>41.28</v>
      </c>
      <c r="I3" s="34">
        <v>2363</v>
      </c>
      <c r="J3" s="43">
        <v>46.72</v>
      </c>
      <c r="K3" s="34">
        <v>2674.18510272</v>
      </c>
    </row>
    <row r="4" spans="1:11" s="98" customFormat="1" x14ac:dyDescent="0.2">
      <c r="A4" s="14" t="s">
        <v>93</v>
      </c>
      <c r="B4" s="99">
        <v>2072</v>
      </c>
      <c r="C4" s="16">
        <v>2445</v>
      </c>
      <c r="D4" s="99">
        <v>2175</v>
      </c>
      <c r="E4" s="16">
        <v>2341</v>
      </c>
      <c r="F4" s="99">
        <v>2226</v>
      </c>
      <c r="G4" s="16">
        <v>2417</v>
      </c>
      <c r="H4" s="99">
        <v>2032</v>
      </c>
      <c r="I4" s="16">
        <v>2188</v>
      </c>
      <c r="J4" s="99">
        <v>1911</v>
      </c>
      <c r="K4" s="16">
        <v>2066.9005164300002</v>
      </c>
    </row>
    <row r="5" spans="1:11" x14ac:dyDescent="0.2">
      <c r="A5" s="1" t="s">
        <v>128</v>
      </c>
      <c r="B5" s="43">
        <v>150.15</v>
      </c>
      <c r="C5" s="16">
        <v>2356</v>
      </c>
      <c r="D5" s="43">
        <v>154.5</v>
      </c>
      <c r="E5" s="16">
        <v>2332</v>
      </c>
      <c r="F5" s="43">
        <v>128.44999999999999</v>
      </c>
      <c r="G5" s="16">
        <v>1933</v>
      </c>
      <c r="H5" s="43"/>
      <c r="I5" s="16"/>
      <c r="J5" s="43"/>
      <c r="K5" s="16"/>
    </row>
    <row r="6" spans="1:11" x14ac:dyDescent="0.2">
      <c r="A6" s="14" t="s">
        <v>82</v>
      </c>
      <c r="B6" s="15">
        <v>102.95</v>
      </c>
      <c r="C6" s="16">
        <v>2048</v>
      </c>
      <c r="D6" s="15">
        <v>105.35</v>
      </c>
      <c r="E6" s="27">
        <v>2096</v>
      </c>
      <c r="F6" s="15">
        <v>100.1</v>
      </c>
      <c r="G6" s="27">
        <v>1991</v>
      </c>
      <c r="H6" s="15">
        <v>98</v>
      </c>
      <c r="I6" s="27">
        <v>1950</v>
      </c>
      <c r="J6" s="15">
        <v>105.2</v>
      </c>
      <c r="K6" s="27">
        <v>2092.7299240000002</v>
      </c>
    </row>
    <row r="7" spans="1:11" x14ac:dyDescent="0.2">
      <c r="A7" s="1" t="s">
        <v>129</v>
      </c>
      <c r="B7" s="43">
        <v>54.15</v>
      </c>
      <c r="C7" s="16">
        <v>1032</v>
      </c>
      <c r="D7" s="43">
        <v>55.83</v>
      </c>
      <c r="E7" s="45">
        <v>1064</v>
      </c>
      <c r="F7" s="43"/>
      <c r="H7" s="43"/>
      <c r="J7" s="43"/>
    </row>
    <row r="8" spans="1:11" x14ac:dyDescent="0.2">
      <c r="A8" s="14" t="s">
        <v>79</v>
      </c>
      <c r="B8" s="43">
        <v>48.72</v>
      </c>
      <c r="C8" s="16">
        <v>789</v>
      </c>
      <c r="D8" s="43">
        <v>42.17</v>
      </c>
      <c r="E8" s="16">
        <v>1358</v>
      </c>
      <c r="F8" s="43">
        <v>43.38</v>
      </c>
      <c r="G8" s="16">
        <v>1397</v>
      </c>
      <c r="H8" s="43">
        <v>40.06</v>
      </c>
      <c r="I8" s="16">
        <v>1290</v>
      </c>
      <c r="J8" s="43">
        <v>41.265000000000001</v>
      </c>
      <c r="K8" s="16">
        <v>2462.51606864</v>
      </c>
    </row>
    <row r="9" spans="1:11" s="108" customFormat="1" x14ac:dyDescent="0.2">
      <c r="A9" s="14" t="s">
        <v>122</v>
      </c>
      <c r="B9" s="15"/>
      <c r="C9" s="16"/>
      <c r="D9" s="15">
        <v>13.79</v>
      </c>
      <c r="E9" s="34">
        <v>754</v>
      </c>
      <c r="F9" s="15">
        <v>14.51</v>
      </c>
      <c r="G9" s="34">
        <v>793</v>
      </c>
      <c r="H9" s="15">
        <v>13.64</v>
      </c>
      <c r="I9" s="34">
        <v>746</v>
      </c>
      <c r="J9" s="15">
        <v>16.324999999999999</v>
      </c>
      <c r="K9" s="34">
        <v>892.5718564</v>
      </c>
    </row>
    <row r="10" spans="1:11" x14ac:dyDescent="0.2">
      <c r="A10" s="14" t="s">
        <v>100</v>
      </c>
      <c r="B10" s="43"/>
      <c r="C10" s="16"/>
      <c r="D10" s="43"/>
      <c r="F10" s="43"/>
      <c r="H10" s="43"/>
      <c r="J10" s="43"/>
    </row>
    <row r="11" spans="1:11" x14ac:dyDescent="0.2">
      <c r="A11" s="1" t="s">
        <v>124</v>
      </c>
      <c r="B11" s="43"/>
      <c r="C11" s="16"/>
      <c r="D11" s="43"/>
      <c r="F11" s="43"/>
      <c r="H11" s="43">
        <v>103</v>
      </c>
      <c r="I11" s="16">
        <v>1325</v>
      </c>
      <c r="J11" s="43">
        <v>89.91</v>
      </c>
      <c r="K11" s="16">
        <v>889.93277639999997</v>
      </c>
    </row>
    <row r="12" spans="1:11" x14ac:dyDescent="0.2">
      <c r="A12" s="1" t="s">
        <v>120</v>
      </c>
      <c r="B12" s="43"/>
      <c r="C12" s="16"/>
      <c r="D12" s="43"/>
      <c r="F12" s="43">
        <v>46.27</v>
      </c>
      <c r="G12" s="45">
        <v>881</v>
      </c>
      <c r="H12" s="43">
        <v>43.75</v>
      </c>
      <c r="I12" s="45">
        <v>833</v>
      </c>
      <c r="J12" s="43">
        <v>38.664999999999999</v>
      </c>
      <c r="K12" s="45">
        <v>720</v>
      </c>
    </row>
    <row r="13" spans="1:11" x14ac:dyDescent="0.2">
      <c r="A13" s="101" t="s">
        <v>121</v>
      </c>
      <c r="B13" s="43">
        <v>28.25</v>
      </c>
      <c r="C13" s="16">
        <v>423</v>
      </c>
      <c r="D13" s="43">
        <v>28.24</v>
      </c>
      <c r="E13" s="45">
        <v>318</v>
      </c>
      <c r="F13" s="43">
        <v>28.26</v>
      </c>
      <c r="G13" s="45">
        <v>318</v>
      </c>
      <c r="H13" s="43">
        <v>28.82</v>
      </c>
      <c r="I13" s="45">
        <v>291</v>
      </c>
      <c r="J13" s="43">
        <v>32.76</v>
      </c>
      <c r="K13" s="45">
        <v>181</v>
      </c>
    </row>
    <row r="14" spans="1:11" x14ac:dyDescent="0.2">
      <c r="A14" s="101" t="s">
        <v>123</v>
      </c>
      <c r="B14" s="43"/>
      <c r="C14" s="16">
        <v>307</v>
      </c>
      <c r="D14" s="43"/>
      <c r="E14" s="45">
        <v>212</v>
      </c>
      <c r="F14" s="43"/>
      <c r="G14" s="45">
        <v>186</v>
      </c>
      <c r="H14" s="43"/>
      <c r="I14" s="45">
        <v>229</v>
      </c>
      <c r="J14" s="43"/>
      <c r="K14" s="45">
        <v>2</v>
      </c>
    </row>
    <row r="15" spans="1:11" x14ac:dyDescent="0.2">
      <c r="A15" s="102" t="s">
        <v>126</v>
      </c>
      <c r="B15" s="15"/>
      <c r="C15" s="16">
        <v>955</v>
      </c>
      <c r="D15" s="15"/>
      <c r="E15" s="16">
        <v>848</v>
      </c>
      <c r="F15" s="15"/>
      <c r="G15" s="16">
        <v>912</v>
      </c>
      <c r="H15" s="15"/>
      <c r="I15" s="16">
        <v>796</v>
      </c>
      <c r="J15" s="15"/>
      <c r="K15" s="16">
        <v>715</v>
      </c>
    </row>
    <row r="16" spans="1:11" s="103" customFormat="1" x14ac:dyDescent="0.2">
      <c r="A16" s="50" t="s">
        <v>86</v>
      </c>
      <c r="B16" s="51"/>
      <c r="C16" s="16">
        <v>692</v>
      </c>
      <c r="D16" s="51"/>
      <c r="E16" s="16">
        <v>-265</v>
      </c>
      <c r="F16" s="51"/>
      <c r="G16" s="16">
        <v>-440</v>
      </c>
      <c r="H16" s="51"/>
      <c r="I16" s="16">
        <f>I17-SUM(I2:I15)</f>
        <v>125</v>
      </c>
      <c r="J16" s="51"/>
      <c r="K16" s="16">
        <v>-269.07014858000002</v>
      </c>
    </row>
    <row r="17" spans="1:11" s="104" customFormat="1" x14ac:dyDescent="0.2">
      <c r="A17" s="56" t="s">
        <v>135</v>
      </c>
      <c r="B17" s="57"/>
      <c r="C17" s="58">
        <v>16992</v>
      </c>
      <c r="D17" s="57"/>
      <c r="E17" s="58">
        <v>16564</v>
      </c>
      <c r="F17" s="57"/>
      <c r="G17" s="58">
        <v>14977</v>
      </c>
      <c r="H17" s="57"/>
      <c r="I17" s="58">
        <v>14762</v>
      </c>
      <c r="J17" s="57"/>
      <c r="K17" s="58">
        <v>15188.296638670001</v>
      </c>
    </row>
    <row r="18" spans="1:11" s="105" customFormat="1" x14ac:dyDescent="0.2">
      <c r="A18" s="66" t="s">
        <v>136</v>
      </c>
      <c r="B18" s="67"/>
      <c r="C18" s="68">
        <v>105.31</v>
      </c>
      <c r="D18" s="67"/>
      <c r="E18" s="68">
        <v>102.65</v>
      </c>
      <c r="F18" s="67"/>
      <c r="G18" s="68">
        <v>92.82</v>
      </c>
      <c r="H18" s="67"/>
      <c r="I18" s="68">
        <v>91.48</v>
      </c>
      <c r="J18" s="67"/>
      <c r="K18" s="68">
        <v>94.127775654125543</v>
      </c>
    </row>
    <row r="19" spans="1:11" s="105" customFormat="1" x14ac:dyDescent="0.2">
      <c r="A19" s="66" t="s">
        <v>114</v>
      </c>
      <c r="B19" s="67"/>
      <c r="C19" s="73">
        <v>79.72</v>
      </c>
      <c r="D19" s="67"/>
      <c r="E19" s="73">
        <v>78.92</v>
      </c>
      <c r="F19" s="67"/>
      <c r="G19" s="73">
        <v>73.459999999999994</v>
      </c>
      <c r="H19" s="67"/>
      <c r="I19" s="73">
        <v>72.510000000000005</v>
      </c>
      <c r="J19" s="67"/>
      <c r="K19" s="73">
        <v>78.83</v>
      </c>
    </row>
    <row r="20" spans="1:11" s="106" customFormat="1" x14ac:dyDescent="0.2">
      <c r="A20" s="74"/>
      <c r="B20" s="75"/>
      <c r="C20" s="76"/>
      <c r="D20" s="75"/>
      <c r="E20" s="76"/>
      <c r="F20" s="75"/>
      <c r="G20" s="76"/>
      <c r="H20" s="75"/>
      <c r="I20" s="76"/>
      <c r="J20" s="75"/>
      <c r="K20" s="76"/>
    </row>
    <row r="21" spans="1:11" s="107" customFormat="1" x14ac:dyDescent="0.2">
      <c r="A21" s="64" t="s">
        <v>78</v>
      </c>
      <c r="B21" s="82"/>
      <c r="C21" s="83">
        <v>161358287</v>
      </c>
      <c r="D21" s="82"/>
      <c r="E21" s="83">
        <v>161358287</v>
      </c>
      <c r="F21" s="82"/>
      <c r="G21" s="83">
        <v>161358287</v>
      </c>
      <c r="H21" s="82"/>
      <c r="I21" s="83">
        <v>161358287</v>
      </c>
      <c r="J21" s="82"/>
      <c r="K21" s="83">
        <v>161358287</v>
      </c>
    </row>
    <row r="23" spans="1:11" ht="12.75" customHeight="1" x14ac:dyDescent="0.2">
      <c r="B23" s="90"/>
      <c r="C23" s="91"/>
      <c r="D23" s="90"/>
      <c r="E23" s="91"/>
      <c r="F23" s="90"/>
      <c r="G23" s="91"/>
      <c r="H23" s="90"/>
      <c r="I23" s="91"/>
      <c r="J23" s="90"/>
      <c r="K23" s="91"/>
    </row>
    <row r="24" spans="1:11" x14ac:dyDescent="0.2">
      <c r="B24" s="94"/>
      <c r="D24" s="94"/>
      <c r="F24" s="94"/>
      <c r="H24" s="94"/>
      <c r="J24" s="94"/>
    </row>
    <row r="25" spans="1:11" x14ac:dyDescent="0.2">
      <c r="B25" s="94"/>
      <c r="D25" s="94"/>
      <c r="F25" s="94"/>
      <c r="H25" s="94"/>
      <c r="J25" s="94"/>
    </row>
    <row r="26" spans="1:11" x14ac:dyDescent="0.2">
      <c r="B26" s="94"/>
      <c r="D26" s="94"/>
      <c r="F26" s="94"/>
      <c r="H26" s="94"/>
      <c r="J26" s="94"/>
    </row>
    <row r="27" spans="1:11" x14ac:dyDescent="0.2">
      <c r="B27" s="94"/>
      <c r="D27" s="94"/>
      <c r="F27" s="94"/>
      <c r="H27" s="94"/>
      <c r="J27" s="94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19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40.28515625" style="26" hidden="1" customWidth="1"/>
    <col min="2" max="2" width="36" style="26" customWidth="1"/>
    <col min="3" max="3" width="35.570312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31" customWidth="1"/>
    <col min="17" max="17" width="12.42578125" style="26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37" s="13" customFormat="1" ht="22.5" customHeight="1" x14ac:dyDescent="0.2">
      <c r="A1" s="2" t="s">
        <v>37</v>
      </c>
      <c r="B1" s="2" t="s">
        <v>38</v>
      </c>
      <c r="C1" s="2" t="s">
        <v>39</v>
      </c>
      <c r="D1" s="193"/>
      <c r="E1" s="150">
        <v>36525</v>
      </c>
      <c r="F1" s="193"/>
      <c r="G1" s="150">
        <v>36420</v>
      </c>
      <c r="H1" s="193"/>
      <c r="I1" s="150">
        <v>36341</v>
      </c>
      <c r="J1" s="193"/>
      <c r="K1" s="150">
        <v>36231</v>
      </c>
      <c r="L1" s="7"/>
      <c r="M1" s="8">
        <v>36651</v>
      </c>
      <c r="N1" s="193"/>
      <c r="O1" s="150">
        <v>36160</v>
      </c>
      <c r="P1" s="194"/>
      <c r="Q1" s="8"/>
      <c r="R1" s="7"/>
      <c r="S1" s="8"/>
      <c r="T1" s="7"/>
      <c r="U1" s="8"/>
      <c r="V1" s="7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10" t="s">
        <v>3</v>
      </c>
      <c r="AE1" s="11">
        <v>35976</v>
      </c>
      <c r="AF1" s="10" t="s">
        <v>3</v>
      </c>
      <c r="AG1" s="11">
        <v>35884</v>
      </c>
      <c r="AH1" s="12" t="s">
        <v>3</v>
      </c>
      <c r="AI1" s="11">
        <v>35795</v>
      </c>
      <c r="AK1" s="13">
        <v>40.3399</v>
      </c>
    </row>
    <row r="2" spans="1:37" x14ac:dyDescent="0.2">
      <c r="A2" s="1" t="s">
        <v>40</v>
      </c>
      <c r="B2" s="14" t="str">
        <f>A2</f>
        <v>Suez Lyonnaise des Eaux</v>
      </c>
      <c r="C2" s="14" t="str">
        <f>A2</f>
        <v>Suez Lyonnaise des Eaux</v>
      </c>
      <c r="D2" s="43">
        <v>159.1</v>
      </c>
      <c r="E2" s="155">
        <v>2126</v>
      </c>
      <c r="F2" s="43">
        <v>159.9</v>
      </c>
      <c r="G2" s="155">
        <v>2134</v>
      </c>
      <c r="H2" s="43">
        <v>174.9</v>
      </c>
      <c r="I2" s="155">
        <v>2278</v>
      </c>
      <c r="J2" s="43">
        <v>173.2</v>
      </c>
      <c r="K2" s="155">
        <v>2197</v>
      </c>
      <c r="L2" s="29">
        <v>134</v>
      </c>
      <c r="M2" s="30">
        <v>5365</v>
      </c>
      <c r="N2" s="43">
        <v>175.01</v>
      </c>
      <c r="O2" s="155">
        <v>2125</v>
      </c>
      <c r="P2" s="29"/>
      <c r="Q2" s="30"/>
    </row>
    <row r="3" spans="1:37" x14ac:dyDescent="0.2">
      <c r="A3" s="14" t="s">
        <v>60</v>
      </c>
      <c r="B3" s="14" t="str">
        <f>A3</f>
        <v>TotalFina</v>
      </c>
      <c r="C3" s="14" t="str">
        <f>A3</f>
        <v>TotalFina</v>
      </c>
      <c r="D3" s="43">
        <v>132.5</v>
      </c>
      <c r="E3" s="155">
        <v>2577</v>
      </c>
      <c r="F3" s="43">
        <v>120.9</v>
      </c>
      <c r="G3" s="155">
        <v>2351</v>
      </c>
      <c r="H3" s="43">
        <v>125.1</v>
      </c>
      <c r="I3" s="155">
        <v>2399</v>
      </c>
      <c r="J3" s="43">
        <v>102.29</v>
      </c>
      <c r="K3" s="155">
        <v>1921</v>
      </c>
      <c r="L3" s="29">
        <v>161.5</v>
      </c>
      <c r="M3" s="30">
        <v>3177</v>
      </c>
      <c r="N3" s="43">
        <v>86.76</v>
      </c>
      <c r="O3" s="155">
        <v>1590</v>
      </c>
      <c r="P3" s="29"/>
      <c r="Q3" s="30"/>
    </row>
    <row r="4" spans="1:37" x14ac:dyDescent="0.2">
      <c r="A4" s="14" t="s">
        <v>42</v>
      </c>
      <c r="B4" s="14" t="str">
        <f>A4</f>
        <v>Audiofina</v>
      </c>
      <c r="C4" s="14" t="str">
        <f>A4</f>
        <v>Audiofina</v>
      </c>
      <c r="D4" s="43">
        <v>75</v>
      </c>
      <c r="E4" s="34">
        <v>3215</v>
      </c>
      <c r="F4" s="43">
        <v>48.35</v>
      </c>
      <c r="G4" s="34">
        <v>1302</v>
      </c>
      <c r="H4" s="43">
        <v>46.55</v>
      </c>
      <c r="I4" s="34">
        <v>1242</v>
      </c>
      <c r="J4" s="43">
        <v>37.450000000000003</v>
      </c>
      <c r="K4" s="34">
        <v>991</v>
      </c>
      <c r="L4" s="29">
        <v>180</v>
      </c>
      <c r="M4" s="33">
        <v>2433</v>
      </c>
      <c r="N4" s="43">
        <v>38.42</v>
      </c>
      <c r="O4" s="34">
        <v>993</v>
      </c>
      <c r="P4" s="29"/>
      <c r="Q4" s="33"/>
    </row>
    <row r="5" spans="1:37" x14ac:dyDescent="0.2">
      <c r="A5" s="14" t="s">
        <v>14</v>
      </c>
      <c r="B5" s="14" t="str">
        <f>A5</f>
        <v>Imerys</v>
      </c>
      <c r="C5" s="14" t="str">
        <f>A5</f>
        <v>Imerys</v>
      </c>
      <c r="D5" s="43">
        <v>148</v>
      </c>
      <c r="E5" s="155">
        <v>620</v>
      </c>
      <c r="F5" s="43">
        <v>149.1</v>
      </c>
      <c r="G5" s="155">
        <v>624</v>
      </c>
      <c r="H5" s="43">
        <v>144</v>
      </c>
      <c r="I5" s="155">
        <v>603</v>
      </c>
      <c r="J5" s="43">
        <v>99.6</v>
      </c>
      <c r="K5" s="155">
        <v>417</v>
      </c>
      <c r="L5" s="29">
        <v>130.9</v>
      </c>
      <c r="M5" s="30">
        <v>548</v>
      </c>
      <c r="N5" s="43">
        <v>85.37</v>
      </c>
      <c r="O5" s="155">
        <v>357</v>
      </c>
      <c r="P5" s="29"/>
      <c r="Q5" s="30"/>
    </row>
    <row r="6" spans="1:37" x14ac:dyDescent="0.2">
      <c r="A6" s="14" t="s">
        <v>15</v>
      </c>
      <c r="B6" s="14" t="str">
        <f>A6</f>
        <v>Rhodia</v>
      </c>
      <c r="C6" s="14" t="str">
        <f>A6</f>
        <v>Rhodia</v>
      </c>
      <c r="D6" s="43">
        <v>22.44</v>
      </c>
      <c r="E6" s="161">
        <v>201</v>
      </c>
      <c r="F6" s="43"/>
      <c r="G6" s="195" t="s">
        <v>4</v>
      </c>
      <c r="H6" s="43"/>
      <c r="I6" s="195" t="s">
        <v>4</v>
      </c>
      <c r="J6" s="43"/>
      <c r="K6" s="195" t="s">
        <v>4</v>
      </c>
      <c r="L6" s="29">
        <v>20.55</v>
      </c>
      <c r="M6" s="47">
        <v>184</v>
      </c>
      <c r="N6" s="43"/>
      <c r="O6" s="195" t="s">
        <v>4</v>
      </c>
      <c r="P6" s="29"/>
      <c r="Q6" s="196"/>
    </row>
    <row r="7" spans="1:37" x14ac:dyDescent="0.2">
      <c r="A7" s="14" t="s">
        <v>17</v>
      </c>
      <c r="B7" s="14" t="s">
        <v>18</v>
      </c>
      <c r="C7" s="14" t="s">
        <v>19</v>
      </c>
      <c r="D7" s="43"/>
      <c r="E7" s="155">
        <v>216</v>
      </c>
      <c r="F7" s="43"/>
      <c r="G7" s="155">
        <v>266</v>
      </c>
      <c r="H7" s="43"/>
      <c r="I7" s="155">
        <v>257</v>
      </c>
      <c r="J7" s="43"/>
      <c r="K7" s="155">
        <v>215</v>
      </c>
      <c r="L7" s="48"/>
      <c r="M7" s="30">
        <v>245</v>
      </c>
      <c r="N7" s="43"/>
      <c r="O7" s="155">
        <v>187</v>
      </c>
      <c r="P7" s="29"/>
      <c r="Q7" s="30"/>
    </row>
    <row r="8" spans="1:37" x14ac:dyDescent="0.2">
      <c r="A8" s="50" t="s">
        <v>45</v>
      </c>
      <c r="B8" s="50" t="s">
        <v>46</v>
      </c>
      <c r="C8" s="50" t="s">
        <v>47</v>
      </c>
      <c r="D8" s="43"/>
      <c r="E8" s="162">
        <v>-594</v>
      </c>
      <c r="F8" s="43"/>
      <c r="G8" s="162">
        <v>392</v>
      </c>
      <c r="H8" s="43"/>
      <c r="I8" s="162">
        <v>414</v>
      </c>
      <c r="J8" s="43"/>
      <c r="K8" s="162">
        <v>527</v>
      </c>
      <c r="L8" s="52"/>
      <c r="M8" s="53">
        <v>-322</v>
      </c>
      <c r="N8" s="43"/>
      <c r="O8" s="162">
        <v>603</v>
      </c>
      <c r="P8" s="29"/>
      <c r="Q8" s="53"/>
    </row>
    <row r="9" spans="1:37" s="145" customFormat="1" x14ac:dyDescent="0.2">
      <c r="A9" s="56" t="s">
        <v>48</v>
      </c>
      <c r="B9" s="164" t="s">
        <v>138</v>
      </c>
      <c r="C9" s="164" t="s">
        <v>26</v>
      </c>
      <c r="D9" s="133"/>
      <c r="E9" s="165">
        <f>SUM(E2:E8)</f>
        <v>8361</v>
      </c>
      <c r="F9" s="133"/>
      <c r="G9" s="165">
        <f>SUM(G2:G8)</f>
        <v>7069</v>
      </c>
      <c r="H9" s="166"/>
      <c r="I9" s="165">
        <f>SUM(I2:I8)</f>
        <v>7193</v>
      </c>
      <c r="J9" s="166"/>
      <c r="K9" s="165">
        <f>SUM(K2:K8)</f>
        <v>6268</v>
      </c>
      <c r="L9" s="124">
        <f>SUM(L5:L8)</f>
        <v>151.45000000000002</v>
      </c>
      <c r="M9" s="124">
        <f>SUM(M5:M8)</f>
        <v>655</v>
      </c>
      <c r="N9" s="166"/>
      <c r="O9" s="165">
        <f>SUM(O2:O8)</f>
        <v>5855</v>
      </c>
      <c r="P9" s="142"/>
      <c r="Q9" s="140"/>
      <c r="R9" s="197"/>
      <c r="T9" s="197"/>
      <c r="V9" s="197"/>
      <c r="X9" s="197"/>
      <c r="Z9" s="141"/>
      <c r="AB9" s="141"/>
      <c r="AD9" s="198"/>
    </row>
    <row r="10" spans="1:37" x14ac:dyDescent="0.2">
      <c r="A10" s="66" t="s">
        <v>49</v>
      </c>
      <c r="B10" s="66" t="s">
        <v>139</v>
      </c>
      <c r="C10" s="66" t="s">
        <v>50</v>
      </c>
      <c r="D10" s="134"/>
      <c r="E10" s="168">
        <v>68.44</v>
      </c>
      <c r="F10" s="134"/>
      <c r="G10" s="168">
        <v>57.87</v>
      </c>
      <c r="H10" s="134"/>
      <c r="I10" s="168">
        <v>58.88</v>
      </c>
      <c r="J10" s="134"/>
      <c r="K10" s="168">
        <v>51.31</v>
      </c>
      <c r="L10" s="71"/>
      <c r="M10" s="22">
        <v>476.02</v>
      </c>
      <c r="N10" s="134"/>
      <c r="O10" s="168">
        <v>47.93</v>
      </c>
      <c r="P10" s="146"/>
      <c r="Q10" s="23"/>
    </row>
    <row r="11" spans="1:37" x14ac:dyDescent="0.2">
      <c r="A11" s="66" t="s">
        <v>51</v>
      </c>
      <c r="B11" s="66" t="s">
        <v>52</v>
      </c>
      <c r="C11" s="66" t="s">
        <v>53</v>
      </c>
      <c r="D11" s="134"/>
      <c r="E11" s="169">
        <v>40</v>
      </c>
      <c r="F11" s="134"/>
      <c r="G11" s="169">
        <v>37.380000000000003</v>
      </c>
      <c r="H11" s="134"/>
      <c r="I11" s="169">
        <v>32.78</v>
      </c>
      <c r="J11" s="134"/>
      <c r="K11" s="169">
        <v>33.5</v>
      </c>
      <c r="L11" s="71"/>
      <c r="M11" s="72">
        <v>267.5</v>
      </c>
      <c r="N11" s="134"/>
      <c r="O11" s="169">
        <v>34.71</v>
      </c>
      <c r="P11" s="146"/>
      <c r="Q11" s="87"/>
    </row>
    <row r="12" spans="1:37" x14ac:dyDescent="0.2">
      <c r="A12" s="74" t="s">
        <v>32</v>
      </c>
      <c r="B12" s="74" t="s">
        <v>33</v>
      </c>
      <c r="C12" s="74" t="s">
        <v>34</v>
      </c>
      <c r="D12" s="170"/>
      <c r="E12" s="171">
        <v>0.41599999999999998</v>
      </c>
      <c r="F12" s="170"/>
      <c r="G12" s="171">
        <v>0.35399999999999998</v>
      </c>
      <c r="H12" s="170"/>
      <c r="I12" s="171">
        <v>0.443</v>
      </c>
      <c r="J12" s="170"/>
      <c r="K12" s="171">
        <v>0.34699999999999998</v>
      </c>
      <c r="L12" s="77"/>
      <c r="M12" s="78">
        <v>0.438</v>
      </c>
      <c r="N12" s="170"/>
      <c r="O12" s="171">
        <v>0.27600000000000002</v>
      </c>
      <c r="P12" s="172"/>
      <c r="Q12" s="173"/>
    </row>
    <row r="13" spans="1:37" x14ac:dyDescent="0.2">
      <c r="A13" s="64" t="s">
        <v>54</v>
      </c>
      <c r="B13" s="64" t="s">
        <v>55</v>
      </c>
      <c r="C13" s="64" t="s">
        <v>56</v>
      </c>
      <c r="D13" s="136"/>
      <c r="E13" s="177">
        <v>122160125</v>
      </c>
      <c r="F13" s="136"/>
      <c r="G13" s="177">
        <v>122160125</v>
      </c>
      <c r="H13" s="136"/>
      <c r="I13" s="177">
        <v>122160125</v>
      </c>
      <c r="J13" s="136"/>
      <c r="K13" s="177">
        <v>122160125</v>
      </c>
      <c r="L13" s="61"/>
      <c r="M13" s="19">
        <v>24432025</v>
      </c>
      <c r="N13" s="136"/>
      <c r="O13" s="177">
        <v>122160125</v>
      </c>
      <c r="P13" s="29"/>
      <c r="Q13" s="33"/>
    </row>
    <row r="15" spans="1:37" ht="12.75" customHeight="1" x14ac:dyDescent="0.2">
      <c r="A15" s="181" t="s">
        <v>57</v>
      </c>
      <c r="B15" s="88" t="s">
        <v>70</v>
      </c>
      <c r="C15" s="89" t="s">
        <v>58</v>
      </c>
      <c r="D15" s="90"/>
      <c r="E15" s="91"/>
      <c r="F15" s="90"/>
      <c r="G15" s="91"/>
      <c r="H15" s="90"/>
      <c r="I15" s="91"/>
      <c r="J15" s="90"/>
      <c r="K15" s="149"/>
      <c r="L15" s="88"/>
      <c r="M15" s="92"/>
      <c r="N15" s="90"/>
      <c r="O15" s="91"/>
      <c r="P15" s="88"/>
      <c r="Q15" s="93"/>
      <c r="R15" s="88"/>
      <c r="S15" s="93"/>
      <c r="T15" s="88"/>
      <c r="V15" s="26"/>
      <c r="W15" s="23"/>
      <c r="X15" s="14"/>
      <c r="Y15" s="23"/>
      <c r="Z15" s="47"/>
      <c r="AA15" s="47"/>
      <c r="AB15" s="47"/>
      <c r="AC15" s="47"/>
      <c r="AD15" s="47"/>
      <c r="AE15" s="47"/>
      <c r="AF15" s="47"/>
      <c r="AG15" s="14"/>
    </row>
    <row r="16" spans="1:37" x14ac:dyDescent="0.2">
      <c r="D16" s="94"/>
      <c r="L16" s="31"/>
      <c r="N16" s="94"/>
      <c r="R16" s="31"/>
      <c r="X16" s="49"/>
      <c r="AB16" s="87"/>
      <c r="AD16" s="26"/>
    </row>
    <row r="17" spans="1:17" x14ac:dyDescent="0.2">
      <c r="B17" s="180"/>
      <c r="C17" s="88"/>
      <c r="D17" s="182"/>
      <c r="E17" s="183"/>
      <c r="F17" s="178"/>
      <c r="G17" s="183"/>
      <c r="H17" s="178"/>
      <c r="I17" s="183"/>
      <c r="J17" s="178"/>
      <c r="K17" s="183"/>
      <c r="L17" s="92"/>
      <c r="M17" s="88"/>
      <c r="N17" s="182"/>
      <c r="O17" s="183"/>
      <c r="P17" s="92"/>
      <c r="Q17" s="88"/>
    </row>
    <row r="18" spans="1:17" x14ac:dyDescent="0.2">
      <c r="A18" s="310"/>
      <c r="B18" s="310"/>
      <c r="C18" s="310"/>
      <c r="D18" s="94"/>
      <c r="L18" s="31"/>
      <c r="N18" s="94"/>
    </row>
    <row r="19" spans="1:17" x14ac:dyDescent="0.2">
      <c r="A19" s="310"/>
      <c r="B19" s="310"/>
      <c r="C19" s="310"/>
      <c r="D19" s="94"/>
      <c r="L19" s="31"/>
      <c r="N19" s="94"/>
    </row>
  </sheetData>
  <mergeCells count="2">
    <mergeCell ref="A18:C18"/>
    <mergeCell ref="A19:C19"/>
  </mergeCells>
  <phoneticPr fontId="2" type="noConversion"/>
  <pageMargins left="0.78740157499999996" right="0.78740157499999996" top="0.984251969" bottom="0.984251969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6"/>
  <sheetViews>
    <sheetView showGridLines="0" zoomScaleNormal="100" workbookViewId="0">
      <selection activeCell="C14" sqref="C14"/>
    </sheetView>
  </sheetViews>
  <sheetFormatPr defaultColWidth="11.42578125" defaultRowHeight="12.75" x14ac:dyDescent="0.2"/>
  <cols>
    <col min="1" max="1" width="44.140625" style="97" bestFit="1" customWidth="1"/>
    <col min="2" max="2" width="13.42578125" style="85" customWidth="1"/>
    <col min="3" max="3" width="12.42578125" style="45" customWidth="1"/>
    <col min="4" max="4" width="13.425781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3.42578125" style="85" customWidth="1"/>
    <col min="9" max="9" width="12.42578125" style="45" customWidth="1"/>
    <col min="10" max="10" width="13.42578125" style="85" customWidth="1"/>
    <col min="11" max="11" width="12.42578125" style="45" customWidth="1"/>
    <col min="12" max="16384" width="11.42578125" style="97"/>
  </cols>
  <sheetData>
    <row r="1" spans="1:11" s="96" customFormat="1" x14ac:dyDescent="0.2">
      <c r="A1" s="95" t="s">
        <v>0</v>
      </c>
      <c r="B1" s="3"/>
      <c r="C1" s="4">
        <v>43100</v>
      </c>
      <c r="D1" s="3"/>
      <c r="E1" s="4">
        <v>43008</v>
      </c>
      <c r="F1" s="3"/>
      <c r="G1" s="4">
        <v>42916</v>
      </c>
      <c r="H1" s="3"/>
      <c r="I1" s="4">
        <v>42825</v>
      </c>
      <c r="J1" s="3"/>
      <c r="K1" s="4">
        <v>42735</v>
      </c>
    </row>
    <row r="2" spans="1:11" x14ac:dyDescent="0.2">
      <c r="A2" s="14" t="s">
        <v>84</v>
      </c>
      <c r="B2" s="43">
        <v>78.540000000000006</v>
      </c>
      <c r="C2" s="16">
        <v>3365.6</v>
      </c>
      <c r="D2" s="43">
        <v>76.45</v>
      </c>
      <c r="E2" s="16">
        <v>3276</v>
      </c>
      <c r="F2" s="43">
        <v>76.150000000000006</v>
      </c>
      <c r="G2" s="16">
        <v>3263.2</v>
      </c>
      <c r="H2" s="43">
        <v>79.569999999999993</v>
      </c>
      <c r="I2" s="16">
        <v>3410</v>
      </c>
      <c r="J2" s="43">
        <v>72.069999999999993</v>
      </c>
      <c r="K2" s="16">
        <v>3088</v>
      </c>
    </row>
    <row r="3" spans="1:11" s="98" customFormat="1" x14ac:dyDescent="0.2">
      <c r="A3" s="1" t="s">
        <v>128</v>
      </c>
      <c r="B3" s="43">
        <v>167.15</v>
      </c>
      <c r="C3" s="16">
        <v>2623.4</v>
      </c>
      <c r="D3" s="43">
        <v>191.4</v>
      </c>
      <c r="E3" s="16">
        <v>3003.3</v>
      </c>
      <c r="F3" s="43">
        <v>167.75</v>
      </c>
      <c r="G3" s="16">
        <v>2632.4</v>
      </c>
      <c r="H3" s="43">
        <v>178.3</v>
      </c>
      <c r="I3" s="16">
        <v>2798</v>
      </c>
      <c r="J3" s="43">
        <v>150.15</v>
      </c>
      <c r="K3" s="16">
        <v>2356</v>
      </c>
    </row>
    <row r="4" spans="1:11" x14ac:dyDescent="0.2">
      <c r="A4" s="1" t="s">
        <v>127</v>
      </c>
      <c r="B4" s="43">
        <v>47.04</v>
      </c>
      <c r="C4" s="34">
        <v>2692.5</v>
      </c>
      <c r="D4" s="43">
        <v>49.4</v>
      </c>
      <c r="E4" s="34">
        <v>2827.3</v>
      </c>
      <c r="F4" s="43">
        <v>50.27</v>
      </c>
      <c r="G4" s="34">
        <v>2877.4</v>
      </c>
      <c r="H4" s="43">
        <v>55.5</v>
      </c>
      <c r="I4" s="34">
        <v>3177</v>
      </c>
      <c r="J4" s="43">
        <v>49.92</v>
      </c>
      <c r="K4" s="34">
        <v>2857</v>
      </c>
    </row>
    <row r="5" spans="1:11" x14ac:dyDescent="0.2">
      <c r="A5" s="14" t="s">
        <v>93</v>
      </c>
      <c r="B5" s="99">
        <v>2541</v>
      </c>
      <c r="C5" s="16">
        <v>2751.1</v>
      </c>
      <c r="D5" s="99">
        <v>2323</v>
      </c>
      <c r="E5" s="16">
        <v>2568.9</v>
      </c>
      <c r="F5" s="99">
        <v>2322</v>
      </c>
      <c r="G5" s="16">
        <v>2691.6</v>
      </c>
      <c r="H5" s="99">
        <v>2137</v>
      </c>
      <c r="I5" s="16">
        <v>2531</v>
      </c>
      <c r="J5" s="99">
        <v>2072</v>
      </c>
      <c r="K5" s="16">
        <v>2445</v>
      </c>
    </row>
    <row r="6" spans="1:11" x14ac:dyDescent="0.2">
      <c r="A6" s="14" t="s">
        <v>82</v>
      </c>
      <c r="B6" s="15">
        <v>131.94999999999999</v>
      </c>
      <c r="C6" s="16">
        <v>2624.9</v>
      </c>
      <c r="D6" s="15">
        <v>117.05</v>
      </c>
      <c r="E6" s="16">
        <v>2328.46</v>
      </c>
      <c r="F6" s="15">
        <v>117.25</v>
      </c>
      <c r="G6" s="16">
        <v>2332.4</v>
      </c>
      <c r="H6" s="15">
        <v>110.9</v>
      </c>
      <c r="I6" s="16">
        <v>2206</v>
      </c>
      <c r="J6" s="15">
        <v>102.95</v>
      </c>
      <c r="K6" s="16">
        <v>2048</v>
      </c>
    </row>
    <row r="7" spans="1:11" x14ac:dyDescent="0.2">
      <c r="A7" s="1" t="s">
        <v>129</v>
      </c>
      <c r="B7" s="43">
        <v>39.454999999999998</v>
      </c>
      <c r="C7" s="16">
        <v>1503.3</v>
      </c>
      <c r="D7" s="43">
        <v>69.989999999999995</v>
      </c>
      <c r="E7" s="16">
        <v>1333.4</v>
      </c>
      <c r="F7" s="43">
        <v>60.9</v>
      </c>
      <c r="G7" s="16">
        <v>1160.2</v>
      </c>
      <c r="H7" s="43">
        <v>53.4</v>
      </c>
      <c r="I7" s="16">
        <v>1017</v>
      </c>
      <c r="J7" s="43">
        <v>54.15</v>
      </c>
      <c r="K7" s="16">
        <v>1032</v>
      </c>
    </row>
    <row r="8" spans="1:11" x14ac:dyDescent="0.2">
      <c r="A8" s="14" t="s">
        <v>79</v>
      </c>
      <c r="B8" s="43">
        <v>46.045000000000002</v>
      </c>
      <c r="C8" s="16">
        <v>746</v>
      </c>
      <c r="D8" s="43">
        <v>45.45</v>
      </c>
      <c r="E8" s="16">
        <v>736.2</v>
      </c>
      <c r="F8" s="43">
        <v>43.29</v>
      </c>
      <c r="G8" s="16">
        <v>701.3</v>
      </c>
      <c r="H8" s="43">
        <v>47.42</v>
      </c>
      <c r="I8" s="16">
        <v>768</v>
      </c>
      <c r="J8" s="43">
        <v>48.72</v>
      </c>
      <c r="K8" s="16">
        <v>789</v>
      </c>
    </row>
    <row r="9" spans="1:11" x14ac:dyDescent="0.2">
      <c r="A9" s="1" t="s">
        <v>130</v>
      </c>
      <c r="B9" s="43">
        <v>27.574999999999999</v>
      </c>
      <c r="C9" s="16">
        <v>453.7</v>
      </c>
      <c r="D9" s="43">
        <v>28.82</v>
      </c>
      <c r="E9" s="16">
        <v>474.1</v>
      </c>
      <c r="F9" s="43">
        <v>31.11</v>
      </c>
      <c r="G9" s="16">
        <v>511.9</v>
      </c>
      <c r="H9" s="43">
        <v>30.1</v>
      </c>
      <c r="I9" s="16">
        <v>495</v>
      </c>
      <c r="J9" s="43">
        <v>28.25</v>
      </c>
      <c r="K9" s="16">
        <v>423</v>
      </c>
    </row>
    <row r="10" spans="1:11" x14ac:dyDescent="0.2">
      <c r="A10" s="1" t="s">
        <v>131</v>
      </c>
      <c r="B10" s="100">
        <v>17.920000000000002</v>
      </c>
      <c r="C10" s="16">
        <v>557.1</v>
      </c>
      <c r="D10" s="100">
        <v>17.600000000000001</v>
      </c>
      <c r="E10" s="16">
        <v>351.9</v>
      </c>
      <c r="F10" s="100">
        <v>16.61</v>
      </c>
      <c r="G10" s="16">
        <v>327.10000000000002</v>
      </c>
      <c r="H10" s="100">
        <v>17.239999999999998</v>
      </c>
      <c r="I10" s="16">
        <v>266</v>
      </c>
      <c r="J10" s="100">
        <v>14.97</v>
      </c>
      <c r="K10" s="16">
        <v>230</v>
      </c>
    </row>
    <row r="11" spans="1:11" x14ac:dyDescent="0.2">
      <c r="A11" s="1" t="s">
        <v>132</v>
      </c>
      <c r="B11" s="43">
        <v>40.01</v>
      </c>
      <c r="C11" s="16">
        <v>327.5</v>
      </c>
      <c r="D11" s="43">
        <v>38.49</v>
      </c>
      <c r="E11" s="16">
        <v>232.8</v>
      </c>
      <c r="F11" s="43"/>
      <c r="G11" s="16"/>
      <c r="H11" s="100"/>
      <c r="I11" s="16"/>
      <c r="J11" s="100"/>
      <c r="K11" s="16"/>
    </row>
    <row r="12" spans="1:11" x14ac:dyDescent="0.2">
      <c r="A12" s="1" t="s">
        <v>133</v>
      </c>
      <c r="B12" s="43">
        <v>14.85</v>
      </c>
      <c r="C12" s="16">
        <v>254.1</v>
      </c>
      <c r="D12" s="43">
        <v>12.8</v>
      </c>
      <c r="E12" s="16">
        <v>156.6</v>
      </c>
      <c r="F12" s="43">
        <v>16.440000000000001</v>
      </c>
      <c r="G12" s="16">
        <v>201.2</v>
      </c>
      <c r="H12" s="100"/>
      <c r="I12" s="16"/>
      <c r="J12" s="100"/>
      <c r="K12" s="16"/>
    </row>
    <row r="13" spans="1:11" x14ac:dyDescent="0.2">
      <c r="A13" s="101" t="s">
        <v>134</v>
      </c>
      <c r="B13" s="43"/>
      <c r="C13" s="16">
        <v>0</v>
      </c>
      <c r="D13" s="43"/>
      <c r="E13" s="16">
        <v>0</v>
      </c>
      <c r="F13" s="43"/>
      <c r="G13" s="16">
        <v>183.2</v>
      </c>
      <c r="H13" s="43"/>
      <c r="I13" s="16">
        <v>67</v>
      </c>
      <c r="J13" s="43"/>
      <c r="K13" s="16">
        <v>77</v>
      </c>
    </row>
    <row r="14" spans="1:11" x14ac:dyDescent="0.2">
      <c r="A14" s="102" t="s">
        <v>126</v>
      </c>
      <c r="B14" s="15"/>
      <c r="C14" s="16">
        <v>926.4</v>
      </c>
      <c r="D14" s="15"/>
      <c r="E14" s="16">
        <v>857.6</v>
      </c>
      <c r="F14" s="15"/>
      <c r="G14" s="16">
        <v>890.7</v>
      </c>
      <c r="H14" s="15"/>
      <c r="I14" s="16">
        <v>817</v>
      </c>
      <c r="J14" s="15"/>
      <c r="K14" s="16">
        <v>955</v>
      </c>
    </row>
    <row r="15" spans="1:11" s="103" customFormat="1" x14ac:dyDescent="0.2">
      <c r="A15" s="50" t="s">
        <v>86</v>
      </c>
      <c r="B15" s="51"/>
      <c r="C15" s="16">
        <v>62.3</v>
      </c>
      <c r="D15" s="51"/>
      <c r="E15" s="16">
        <v>422</v>
      </c>
      <c r="F15" s="51"/>
      <c r="G15" s="16">
        <v>326.5</v>
      </c>
      <c r="H15" s="51"/>
      <c r="I15" s="16">
        <v>978</v>
      </c>
      <c r="J15" s="51"/>
      <c r="K15" s="16">
        <v>692</v>
      </c>
    </row>
    <row r="16" spans="1:11" s="104" customFormat="1" x14ac:dyDescent="0.2">
      <c r="A16" s="56" t="s">
        <v>135</v>
      </c>
      <c r="B16" s="57"/>
      <c r="C16" s="58">
        <v>18888</v>
      </c>
      <c r="D16" s="57"/>
      <c r="E16" s="58">
        <v>18568.599999999999</v>
      </c>
      <c r="F16" s="57"/>
      <c r="G16" s="58">
        <v>18099</v>
      </c>
      <c r="H16" s="57"/>
      <c r="I16" s="58">
        <v>18530</v>
      </c>
      <c r="J16" s="57"/>
      <c r="K16" s="58">
        <v>16992</v>
      </c>
    </row>
    <row r="17" spans="1:11" s="105" customFormat="1" x14ac:dyDescent="0.2">
      <c r="A17" s="66" t="s">
        <v>136</v>
      </c>
      <c r="B17" s="67"/>
      <c r="C17" s="68">
        <v>117.06</v>
      </c>
      <c r="D17" s="67"/>
      <c r="E17" s="68">
        <v>115.08</v>
      </c>
      <c r="F17" s="67"/>
      <c r="G17" s="68">
        <v>112.17</v>
      </c>
      <c r="H17" s="67"/>
      <c r="I17" s="68">
        <v>114.84</v>
      </c>
      <c r="J17" s="67"/>
      <c r="K17" s="68">
        <v>105.31</v>
      </c>
    </row>
    <row r="18" spans="1:11" s="105" customFormat="1" x14ac:dyDescent="0.2">
      <c r="A18" s="66" t="s">
        <v>114</v>
      </c>
      <c r="B18" s="67"/>
      <c r="C18" s="73">
        <v>89.99</v>
      </c>
      <c r="D18" s="67"/>
      <c r="E18" s="73">
        <v>89</v>
      </c>
      <c r="F18" s="67"/>
      <c r="G18" s="73">
        <v>84.29</v>
      </c>
      <c r="H18" s="67"/>
      <c r="I18" s="73">
        <v>85.1</v>
      </c>
      <c r="J18" s="67"/>
      <c r="K18" s="73">
        <v>79.72</v>
      </c>
    </row>
    <row r="19" spans="1:11" s="106" customFormat="1" x14ac:dyDescent="0.2">
      <c r="A19" s="74"/>
      <c r="B19" s="75"/>
      <c r="C19" s="76"/>
      <c r="D19" s="75"/>
      <c r="E19" s="76"/>
      <c r="F19" s="75"/>
      <c r="G19" s="76"/>
      <c r="H19" s="75"/>
      <c r="I19" s="76"/>
      <c r="J19" s="75"/>
      <c r="K19" s="76"/>
    </row>
    <row r="20" spans="1:11" s="107" customFormat="1" x14ac:dyDescent="0.2">
      <c r="A20" s="64" t="s">
        <v>78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1" ht="12.75" customHeight="1" x14ac:dyDescent="0.2">
      <c r="B22" s="90"/>
      <c r="C22" s="91"/>
      <c r="D22" s="90"/>
      <c r="E22" s="91"/>
      <c r="F22" s="90"/>
      <c r="G22" s="91"/>
      <c r="H22" s="90"/>
      <c r="I22" s="91"/>
      <c r="J22" s="90"/>
      <c r="K22" s="91"/>
    </row>
    <row r="23" spans="1:11" x14ac:dyDescent="0.2">
      <c r="B23" s="94"/>
      <c r="D23" s="94"/>
      <c r="F23" s="94"/>
      <c r="H23" s="94"/>
      <c r="J23" s="94"/>
    </row>
    <row r="24" spans="1:11" x14ac:dyDescent="0.2">
      <c r="B24" s="94"/>
      <c r="D24" s="94"/>
      <c r="F24" s="94"/>
      <c r="H24" s="94"/>
      <c r="J24" s="94"/>
    </row>
    <row r="25" spans="1:11" x14ac:dyDescent="0.2">
      <c r="B25" s="94"/>
      <c r="D25" s="94"/>
      <c r="F25" s="94"/>
      <c r="H25" s="94"/>
      <c r="J25" s="94"/>
    </row>
    <row r="26" spans="1:11" x14ac:dyDescent="0.2">
      <c r="B26" s="94"/>
      <c r="D26" s="94"/>
      <c r="F26" s="94"/>
      <c r="H26" s="94"/>
      <c r="J26" s="94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6"/>
  <sheetViews>
    <sheetView showGridLines="0" zoomScaleNormal="100" workbookViewId="0">
      <selection activeCell="A15" sqref="A15"/>
    </sheetView>
  </sheetViews>
  <sheetFormatPr defaultColWidth="11.42578125" defaultRowHeight="12.75" x14ac:dyDescent="0.2"/>
  <cols>
    <col min="1" max="1" width="44.140625" style="97" bestFit="1" customWidth="1"/>
    <col min="2" max="2" width="13.42578125" style="85" customWidth="1"/>
    <col min="3" max="3" width="12.42578125" style="45" customWidth="1"/>
    <col min="4" max="4" width="13.425781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3.42578125" style="85" customWidth="1"/>
    <col min="9" max="9" width="12.42578125" style="45" customWidth="1"/>
    <col min="10" max="10" width="13.42578125" style="85" customWidth="1"/>
    <col min="11" max="11" width="12.42578125" style="45" customWidth="1"/>
    <col min="12" max="16384" width="11.42578125" style="97"/>
  </cols>
  <sheetData>
    <row r="1" spans="1:13" s="96" customFormat="1" x14ac:dyDescent="0.2">
      <c r="A1" s="95" t="s">
        <v>0</v>
      </c>
      <c r="B1" s="3"/>
      <c r="C1" s="4">
        <v>43465</v>
      </c>
      <c r="D1" s="3"/>
      <c r="E1" s="4">
        <v>43373</v>
      </c>
      <c r="F1" s="3"/>
      <c r="G1" s="4">
        <v>43281</v>
      </c>
      <c r="H1" s="3"/>
      <c r="I1" s="4">
        <v>43190</v>
      </c>
      <c r="J1" s="3"/>
      <c r="K1" s="4">
        <v>43100</v>
      </c>
    </row>
    <row r="2" spans="1:13" s="26" customFormat="1" x14ac:dyDescent="0.2">
      <c r="A2" s="1" t="s">
        <v>128</v>
      </c>
      <c r="B2" s="43">
        <v>182.4</v>
      </c>
      <c r="C2" s="16">
        <v>2862.7</v>
      </c>
      <c r="D2" s="43">
        <v>210.9</v>
      </c>
      <c r="E2" s="16">
        <v>3310</v>
      </c>
      <c r="F2" s="43">
        <v>186.95</v>
      </c>
      <c r="G2" s="16">
        <v>2934</v>
      </c>
      <c r="H2" s="43">
        <v>196.65</v>
      </c>
      <c r="I2" s="16">
        <v>3086.4</v>
      </c>
      <c r="J2" s="43">
        <v>167.15</v>
      </c>
      <c r="K2" s="16">
        <v>2623.4</v>
      </c>
    </row>
    <row r="3" spans="1:13" s="26" customFormat="1" x14ac:dyDescent="0.2">
      <c r="A3" s="14" t="s">
        <v>82</v>
      </c>
      <c r="B3" s="15">
        <v>143.30000000000001</v>
      </c>
      <c r="C3" s="16">
        <v>2850.6</v>
      </c>
      <c r="D3" s="15">
        <v>141.30000000000001</v>
      </c>
      <c r="E3" s="16">
        <v>2811</v>
      </c>
      <c r="F3" s="15">
        <v>139.9</v>
      </c>
      <c r="G3" s="16">
        <v>2783</v>
      </c>
      <c r="H3" s="15">
        <v>135.25</v>
      </c>
      <c r="I3" s="16">
        <v>2690.5</v>
      </c>
      <c r="J3" s="15">
        <v>131.94999999999999</v>
      </c>
      <c r="K3" s="16">
        <v>2624.9</v>
      </c>
      <c r="L3" s="121"/>
      <c r="M3" s="121"/>
    </row>
    <row r="4" spans="1:13" s="26" customFormat="1" x14ac:dyDescent="0.2">
      <c r="A4" s="14" t="s">
        <v>93</v>
      </c>
      <c r="B4" s="99">
        <v>2210</v>
      </c>
      <c r="C4" s="16">
        <v>2484.6999999999998</v>
      </c>
      <c r="D4" s="99">
        <v>2584</v>
      </c>
      <c r="E4" s="16">
        <v>2893</v>
      </c>
      <c r="F4" s="99">
        <v>2642</v>
      </c>
      <c r="G4" s="16">
        <v>2893</v>
      </c>
      <c r="H4" s="99">
        <v>2348</v>
      </c>
      <c r="I4" s="16">
        <v>2525.6</v>
      </c>
      <c r="J4" s="99">
        <v>2541</v>
      </c>
      <c r="K4" s="16">
        <v>2751.1</v>
      </c>
    </row>
    <row r="5" spans="1:13" s="26" customFormat="1" x14ac:dyDescent="0.2">
      <c r="A5" s="1" t="s">
        <v>127</v>
      </c>
      <c r="B5" s="43">
        <v>35.83</v>
      </c>
      <c r="C5" s="34">
        <v>2050.9</v>
      </c>
      <c r="D5" s="43">
        <v>52.52</v>
      </c>
      <c r="E5" s="34">
        <v>2434</v>
      </c>
      <c r="F5" s="43">
        <v>41.53</v>
      </c>
      <c r="G5" s="34">
        <v>2377</v>
      </c>
      <c r="H5" s="43">
        <v>44.28</v>
      </c>
      <c r="I5" s="34">
        <v>2534.5</v>
      </c>
      <c r="J5" s="43">
        <v>47.04</v>
      </c>
      <c r="K5" s="34">
        <v>2692.5</v>
      </c>
    </row>
    <row r="6" spans="1:13" s="121" customFormat="1" x14ac:dyDescent="0.2">
      <c r="A6" s="14" t="s">
        <v>84</v>
      </c>
      <c r="B6" s="43">
        <v>41.98</v>
      </c>
      <c r="C6" s="16">
        <v>1798.9</v>
      </c>
      <c r="D6" s="43">
        <v>63.6</v>
      </c>
      <c r="E6" s="16">
        <v>2725</v>
      </c>
      <c r="F6" s="43">
        <v>69.25</v>
      </c>
      <c r="G6" s="16">
        <v>2968</v>
      </c>
      <c r="H6" s="43">
        <v>78.900000000000006</v>
      </c>
      <c r="I6" s="16">
        <v>3381</v>
      </c>
      <c r="J6" s="43">
        <v>78.540000000000006</v>
      </c>
      <c r="K6" s="16">
        <v>3365.6</v>
      </c>
      <c r="L6" s="26"/>
      <c r="M6" s="26"/>
    </row>
    <row r="7" spans="1:13" s="26" customFormat="1" x14ac:dyDescent="0.2">
      <c r="A7" s="1" t="s">
        <v>129</v>
      </c>
      <c r="B7" s="43">
        <v>34.86</v>
      </c>
      <c r="C7" s="16">
        <v>1519.9</v>
      </c>
      <c r="D7" s="43">
        <v>48.17</v>
      </c>
      <c r="E7" s="16">
        <v>2010</v>
      </c>
      <c r="F7" s="43">
        <v>49.15</v>
      </c>
      <c r="G7" s="16">
        <v>2051</v>
      </c>
      <c r="H7" s="43">
        <v>42.93</v>
      </c>
      <c r="I7" s="16">
        <v>1791.1</v>
      </c>
      <c r="J7" s="43">
        <v>39.454999999999998</v>
      </c>
      <c r="K7" s="16">
        <v>1503.3</v>
      </c>
    </row>
    <row r="8" spans="1:13" s="26" customFormat="1" x14ac:dyDescent="0.2">
      <c r="A8" s="14" t="s">
        <v>79</v>
      </c>
      <c r="B8" s="43">
        <v>46.18</v>
      </c>
      <c r="C8" s="16">
        <v>748.5</v>
      </c>
      <c r="D8" s="43">
        <v>55.84</v>
      </c>
      <c r="E8" s="16">
        <v>905</v>
      </c>
      <c r="F8" s="43">
        <v>52.21</v>
      </c>
      <c r="G8" s="16">
        <v>846</v>
      </c>
      <c r="H8" s="43">
        <v>46.13</v>
      </c>
      <c r="I8" s="16">
        <v>747.5</v>
      </c>
      <c r="J8" s="43">
        <v>46.045000000000002</v>
      </c>
      <c r="K8" s="16">
        <v>746</v>
      </c>
    </row>
    <row r="9" spans="1:13" s="26" customFormat="1" x14ac:dyDescent="0.2">
      <c r="A9" s="1" t="s">
        <v>132</v>
      </c>
      <c r="B9" s="43">
        <v>22.5</v>
      </c>
      <c r="C9" s="16">
        <v>345.5</v>
      </c>
      <c r="D9" s="43">
        <v>30.68</v>
      </c>
      <c r="E9" s="16">
        <v>404</v>
      </c>
      <c r="F9" s="43">
        <v>28.89</v>
      </c>
      <c r="G9" s="16">
        <v>380</v>
      </c>
      <c r="H9" s="43">
        <v>34.549999999999997</v>
      </c>
      <c r="I9" s="16">
        <v>349.4</v>
      </c>
      <c r="J9" s="43">
        <v>40.01</v>
      </c>
      <c r="K9" s="16">
        <v>327.5</v>
      </c>
    </row>
    <row r="10" spans="1:13" s="26" customFormat="1" x14ac:dyDescent="0.2">
      <c r="A10" s="1" t="s">
        <v>130</v>
      </c>
      <c r="B10" s="43">
        <v>17.899999999999999</v>
      </c>
      <c r="C10" s="16">
        <v>294.5</v>
      </c>
      <c r="D10" s="43">
        <v>18.350000000000001</v>
      </c>
      <c r="E10" s="16">
        <v>302</v>
      </c>
      <c r="F10" s="43">
        <v>18.809999999999999</v>
      </c>
      <c r="G10" s="16">
        <v>310</v>
      </c>
      <c r="H10" s="43">
        <v>21.72</v>
      </c>
      <c r="I10" s="16">
        <v>357.4</v>
      </c>
      <c r="J10" s="43">
        <v>27.574999999999999</v>
      </c>
      <c r="K10" s="16">
        <v>453.7</v>
      </c>
    </row>
    <row r="11" spans="1:13" s="26" customFormat="1" x14ac:dyDescent="0.2">
      <c r="A11" s="1" t="s">
        <v>133</v>
      </c>
      <c r="B11" s="43">
        <v>10.8</v>
      </c>
      <c r="C11" s="16">
        <v>184.8</v>
      </c>
      <c r="D11" s="43">
        <v>11.5</v>
      </c>
      <c r="E11" s="16">
        <v>197</v>
      </c>
      <c r="F11" s="43">
        <v>13.7</v>
      </c>
      <c r="G11" s="16">
        <v>234</v>
      </c>
      <c r="H11" s="43">
        <v>12.82</v>
      </c>
      <c r="I11" s="16">
        <v>219.4</v>
      </c>
      <c r="J11" s="43">
        <v>14.85</v>
      </c>
      <c r="K11" s="16">
        <v>254.1</v>
      </c>
    </row>
    <row r="12" spans="1:13" s="26" customFormat="1" x14ac:dyDescent="0.2">
      <c r="A12" s="1" t="s">
        <v>131</v>
      </c>
      <c r="B12" s="100"/>
      <c r="C12" s="16"/>
      <c r="D12" s="100"/>
      <c r="E12" s="16"/>
      <c r="F12" s="100"/>
      <c r="G12" s="16"/>
      <c r="H12" s="100">
        <v>16.96</v>
      </c>
      <c r="I12" s="16">
        <v>534.70000000000005</v>
      </c>
      <c r="J12" s="100">
        <v>17.920000000000002</v>
      </c>
      <c r="K12" s="16">
        <v>557.1</v>
      </c>
    </row>
    <row r="13" spans="1:13" x14ac:dyDescent="0.2">
      <c r="A13" s="101" t="s">
        <v>134</v>
      </c>
      <c r="B13" s="43"/>
      <c r="C13" s="16">
        <v>170.6</v>
      </c>
      <c r="D13" s="43"/>
      <c r="E13" s="16">
        <v>240</v>
      </c>
      <c r="F13" s="43"/>
      <c r="G13" s="16">
        <v>139</v>
      </c>
      <c r="H13" s="43"/>
      <c r="I13" s="16">
        <v>0</v>
      </c>
      <c r="J13" s="43"/>
      <c r="K13" s="16">
        <v>0</v>
      </c>
    </row>
    <row r="14" spans="1:13" x14ac:dyDescent="0.2">
      <c r="A14" s="102" t="s">
        <v>126</v>
      </c>
      <c r="B14" s="15"/>
      <c r="C14" s="16">
        <v>1374.4</v>
      </c>
      <c r="D14" s="15"/>
      <c r="E14" s="16">
        <v>1344</v>
      </c>
      <c r="F14" s="15"/>
      <c r="G14" s="16">
        <v>1274</v>
      </c>
      <c r="H14" s="15"/>
      <c r="I14" s="16">
        <v>959</v>
      </c>
      <c r="J14" s="15"/>
      <c r="K14" s="16">
        <v>926.4</v>
      </c>
    </row>
    <row r="15" spans="1:13" s="103" customFormat="1" x14ac:dyDescent="0.2">
      <c r="A15" s="50" t="s">
        <v>142</v>
      </c>
      <c r="B15" s="51"/>
      <c r="C15" s="16">
        <f>199.6-1069.4+376.5</f>
        <v>-493.30000000000007</v>
      </c>
      <c r="D15" s="51"/>
      <c r="E15" s="16">
        <v>-363</v>
      </c>
      <c r="F15" s="51"/>
      <c r="G15" s="16">
        <v>-276</v>
      </c>
      <c r="H15" s="51"/>
      <c r="I15" s="16">
        <v>-97</v>
      </c>
      <c r="J15" s="51"/>
      <c r="K15" s="16">
        <v>62.3</v>
      </c>
    </row>
    <row r="16" spans="1:13" s="104" customFormat="1" x14ac:dyDescent="0.2">
      <c r="A16" s="56" t="s">
        <v>135</v>
      </c>
      <c r="B16" s="57"/>
      <c r="C16" s="58">
        <v>16192.7</v>
      </c>
      <c r="D16" s="57"/>
      <c r="E16" s="58">
        <v>19211</v>
      </c>
      <c r="F16" s="57"/>
      <c r="G16" s="58">
        <v>18913</v>
      </c>
      <c r="H16" s="57"/>
      <c r="I16" s="58">
        <v>19079</v>
      </c>
      <c r="J16" s="57"/>
      <c r="K16" s="58">
        <v>18888</v>
      </c>
    </row>
    <row r="17" spans="1:11" s="105" customFormat="1" x14ac:dyDescent="0.2">
      <c r="A17" s="66" t="s">
        <v>136</v>
      </c>
      <c r="B17" s="67"/>
      <c r="C17" s="68">
        <v>100.35</v>
      </c>
      <c r="D17" s="67"/>
      <c r="E17" s="68">
        <v>119.06</v>
      </c>
      <c r="F17" s="67"/>
      <c r="G17" s="68">
        <v>117.21</v>
      </c>
      <c r="H17" s="67"/>
      <c r="I17" s="68">
        <v>118.24</v>
      </c>
      <c r="J17" s="67"/>
      <c r="K17" s="68">
        <v>117.06</v>
      </c>
    </row>
    <row r="18" spans="1:11" s="105" customFormat="1" x14ac:dyDescent="0.2">
      <c r="A18" s="66" t="s">
        <v>114</v>
      </c>
      <c r="B18" s="67"/>
      <c r="C18" s="73">
        <v>76.08</v>
      </c>
      <c r="D18" s="67"/>
      <c r="E18" s="73">
        <v>90.3</v>
      </c>
      <c r="F18" s="67"/>
      <c r="G18" s="73">
        <v>90.32</v>
      </c>
      <c r="H18" s="67"/>
      <c r="I18" s="73">
        <v>92.8</v>
      </c>
      <c r="J18" s="67"/>
      <c r="K18" s="73">
        <v>89.99</v>
      </c>
    </row>
    <row r="19" spans="1:11" s="106" customFormat="1" x14ac:dyDescent="0.2">
      <c r="A19" s="74"/>
      <c r="B19" s="75"/>
      <c r="C19" s="76"/>
      <c r="D19" s="75"/>
      <c r="E19" s="76"/>
      <c r="F19" s="75"/>
      <c r="G19" s="76"/>
      <c r="H19" s="75"/>
      <c r="I19" s="76"/>
      <c r="J19" s="75"/>
      <c r="K19" s="76"/>
    </row>
    <row r="20" spans="1:11" s="107" customFormat="1" x14ac:dyDescent="0.2">
      <c r="A20" s="64" t="s">
        <v>78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1" ht="12.75" customHeight="1" x14ac:dyDescent="0.2">
      <c r="B22" s="90"/>
      <c r="C22" s="91"/>
      <c r="D22" s="90"/>
      <c r="E22" s="91"/>
      <c r="F22" s="90"/>
      <c r="G22" s="91"/>
      <c r="H22" s="90"/>
      <c r="I22" s="91"/>
      <c r="J22" s="90"/>
      <c r="K22" s="91"/>
    </row>
    <row r="23" spans="1:11" x14ac:dyDescent="0.2">
      <c r="B23" s="94"/>
      <c r="D23" s="94"/>
      <c r="F23" s="94"/>
      <c r="H23" s="94"/>
      <c r="J23" s="94"/>
    </row>
    <row r="24" spans="1:11" x14ac:dyDescent="0.2">
      <c r="B24" s="94"/>
      <c r="D24" s="94"/>
      <c r="F24" s="94"/>
      <c r="H24" s="94"/>
      <c r="J24" s="94"/>
    </row>
    <row r="25" spans="1:11" x14ac:dyDescent="0.2">
      <c r="B25" s="94"/>
      <c r="D25" s="94"/>
      <c r="F25" s="94"/>
      <c r="H25" s="94"/>
      <c r="J25" s="94"/>
    </row>
    <row r="26" spans="1:11" x14ac:dyDescent="0.2">
      <c r="B26" s="94"/>
      <c r="D26" s="94"/>
      <c r="F26" s="94"/>
      <c r="H26" s="94"/>
      <c r="J26" s="94"/>
    </row>
  </sheetData>
  <pageMargins left="0.28000000000000003" right="0.2" top="0.984251969" bottom="0.984251969" header="0.4921259845" footer="0.4921259845"/>
  <pageSetup paperSize="9" scale="60" orientation="landscape" r:id="rId1"/>
  <headerFooter alignWithMargins="0">
    <oddHeader>&amp;L"FR NL UK VAC trimestrielle.xls"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26"/>
  <sheetViews>
    <sheetView showGridLines="0" workbookViewId="0">
      <selection activeCell="A15" sqref="A15"/>
    </sheetView>
  </sheetViews>
  <sheetFormatPr defaultRowHeight="12.75" x14ac:dyDescent="0.2"/>
  <cols>
    <col min="1" max="1" width="44.140625" style="97" bestFit="1" customWidth="1"/>
    <col min="2" max="2" width="13.42578125" style="85" customWidth="1"/>
    <col min="3" max="3" width="12.42578125" style="45" customWidth="1"/>
    <col min="4" max="4" width="13.42578125" style="85" customWidth="1"/>
    <col min="5" max="5" width="12.42578125" style="45" customWidth="1"/>
    <col min="6" max="6" width="13.42578125" style="85" customWidth="1"/>
    <col min="7" max="7" width="12.42578125" style="45" customWidth="1"/>
    <col min="8" max="8" width="13.42578125" style="85" customWidth="1"/>
    <col min="9" max="9" width="12.42578125" style="45" customWidth="1"/>
    <col min="10" max="10" width="13.42578125" style="85" customWidth="1"/>
    <col min="11" max="11" width="12.42578125" style="45" customWidth="1"/>
  </cols>
  <sheetData>
    <row r="1" spans="1:17" x14ac:dyDescent="0.2">
      <c r="A1" s="95" t="s">
        <v>0</v>
      </c>
      <c r="B1" s="3"/>
      <c r="C1" s="4">
        <v>43830</v>
      </c>
      <c r="D1" s="3"/>
      <c r="E1" s="4">
        <v>43738</v>
      </c>
      <c r="F1" s="3"/>
      <c r="G1" s="4">
        <v>43646</v>
      </c>
      <c r="H1" s="3"/>
      <c r="I1" s="4">
        <v>43555</v>
      </c>
      <c r="J1" s="3"/>
      <c r="K1" s="4">
        <v>43465</v>
      </c>
    </row>
    <row r="2" spans="1:17" x14ac:dyDescent="0.2">
      <c r="A2" s="1" t="s">
        <v>128</v>
      </c>
      <c r="B2" s="209">
        <v>289.8</v>
      </c>
      <c r="C2" s="16">
        <v>3951.3</v>
      </c>
      <c r="D2" s="209">
        <v>285.64999999999998</v>
      </c>
      <c r="E2" s="16">
        <v>3894.7</v>
      </c>
      <c r="F2" s="209">
        <v>271.5</v>
      </c>
      <c r="G2" s="16">
        <v>3701.8</v>
      </c>
      <c r="H2" s="209">
        <v>216.6</v>
      </c>
      <c r="I2" s="16">
        <v>3255.8</v>
      </c>
      <c r="J2" s="43">
        <v>182.4</v>
      </c>
      <c r="K2" s="16">
        <v>2862.7</v>
      </c>
      <c r="M2" s="239"/>
      <c r="O2" s="239"/>
      <c r="Q2" s="239"/>
    </row>
    <row r="3" spans="1:17" x14ac:dyDescent="0.2">
      <c r="A3" s="14" t="s">
        <v>82</v>
      </c>
      <c r="B3" s="210">
        <v>159.4</v>
      </c>
      <c r="C3" s="16">
        <v>3170.9</v>
      </c>
      <c r="D3" s="210">
        <v>163.4</v>
      </c>
      <c r="E3" s="16">
        <v>3250.5</v>
      </c>
      <c r="F3" s="210">
        <v>162.05000000000001</v>
      </c>
      <c r="G3" s="16">
        <v>3223.6</v>
      </c>
      <c r="H3" s="210">
        <v>160</v>
      </c>
      <c r="I3" s="16">
        <v>3182.9</v>
      </c>
      <c r="J3" s="15">
        <v>143.30000000000001</v>
      </c>
      <c r="K3" s="16">
        <v>2850.6</v>
      </c>
      <c r="M3" s="239"/>
      <c r="O3" s="239"/>
      <c r="Q3" s="239"/>
    </row>
    <row r="4" spans="1:17" x14ac:dyDescent="0.2">
      <c r="A4" s="14" t="s">
        <v>93</v>
      </c>
      <c r="B4" s="211">
        <v>2651</v>
      </c>
      <c r="C4" s="16">
        <v>3094.5</v>
      </c>
      <c r="D4" s="211">
        <v>2474</v>
      </c>
      <c r="E4" s="16">
        <v>2889.7</v>
      </c>
      <c r="F4" s="211">
        <v>2487</v>
      </c>
      <c r="G4" s="16">
        <v>2837.4</v>
      </c>
      <c r="H4" s="211">
        <v>2478</v>
      </c>
      <c r="I4" s="16">
        <v>2807.9</v>
      </c>
      <c r="J4" s="99">
        <v>2210</v>
      </c>
      <c r="K4" s="16">
        <v>2484.6999999999998</v>
      </c>
      <c r="M4" s="239"/>
      <c r="O4" s="239"/>
      <c r="Q4" s="239"/>
    </row>
    <row r="5" spans="1:17" x14ac:dyDescent="0.2">
      <c r="A5" s="1" t="s">
        <v>127</v>
      </c>
      <c r="B5" s="238">
        <v>53.7</v>
      </c>
      <c r="C5" s="34">
        <v>2308.1999999999998</v>
      </c>
      <c r="D5" s="209">
        <v>45.14</v>
      </c>
      <c r="E5" s="34">
        <v>2583.6999999999998</v>
      </c>
      <c r="F5" s="209">
        <v>42.94</v>
      </c>
      <c r="G5" s="34">
        <v>2457.8000000000002</v>
      </c>
      <c r="H5" s="209">
        <v>44.02</v>
      </c>
      <c r="I5" s="34">
        <v>2519.6</v>
      </c>
      <c r="J5" s="43">
        <v>35.83</v>
      </c>
      <c r="K5" s="34">
        <v>2050.9</v>
      </c>
      <c r="M5" s="239"/>
      <c r="O5" s="239"/>
      <c r="Q5" s="239"/>
    </row>
    <row r="6" spans="1:17" x14ac:dyDescent="0.2">
      <c r="A6" s="1" t="s">
        <v>129</v>
      </c>
      <c r="B6" s="209">
        <v>43.36</v>
      </c>
      <c r="C6" s="16">
        <v>1922.3</v>
      </c>
      <c r="D6" s="209">
        <v>34.630000000000003</v>
      </c>
      <c r="E6" s="16">
        <v>1535.2</v>
      </c>
      <c r="F6" s="209">
        <v>28.2</v>
      </c>
      <c r="G6" s="16">
        <v>1250.2</v>
      </c>
      <c r="H6" s="209">
        <v>39.590000000000003</v>
      </c>
      <c r="I6" s="16">
        <v>1747.1</v>
      </c>
      <c r="J6" s="43">
        <v>34.86</v>
      </c>
      <c r="K6" s="16">
        <v>1519.9</v>
      </c>
      <c r="M6" s="239"/>
      <c r="O6" s="239"/>
      <c r="Q6" s="239"/>
    </row>
    <row r="7" spans="1:17" x14ac:dyDescent="0.2">
      <c r="A7" s="14" t="s">
        <v>84</v>
      </c>
      <c r="B7" s="209">
        <v>37.68</v>
      </c>
      <c r="C7" s="16">
        <v>1617.2</v>
      </c>
      <c r="D7" s="209">
        <v>36.880000000000003</v>
      </c>
      <c r="E7" s="16">
        <v>1582.9</v>
      </c>
      <c r="F7" s="209">
        <v>46.62</v>
      </c>
      <c r="G7" s="16">
        <v>2000.9</v>
      </c>
      <c r="H7" s="209">
        <v>44.44</v>
      </c>
      <c r="I7" s="16">
        <v>1904.3</v>
      </c>
      <c r="J7" s="43">
        <v>41.98</v>
      </c>
      <c r="K7" s="16">
        <v>1798.9</v>
      </c>
      <c r="M7" s="239"/>
      <c r="O7" s="239"/>
      <c r="Q7" s="239"/>
    </row>
    <row r="8" spans="1:17" x14ac:dyDescent="0.2">
      <c r="A8" s="14" t="s">
        <v>141</v>
      </c>
      <c r="B8" s="15"/>
      <c r="C8" s="16">
        <v>866.7</v>
      </c>
      <c r="D8" s="209"/>
      <c r="E8" s="16"/>
      <c r="F8" s="209"/>
      <c r="G8" s="16"/>
      <c r="H8" s="209"/>
      <c r="I8" s="16"/>
      <c r="J8" s="43"/>
      <c r="K8" s="16"/>
      <c r="M8" s="239"/>
      <c r="O8" s="239"/>
      <c r="Q8" s="239"/>
    </row>
    <row r="9" spans="1:17" x14ac:dyDescent="0.2">
      <c r="A9" s="14" t="s">
        <v>79</v>
      </c>
      <c r="B9" s="209">
        <v>49.2</v>
      </c>
      <c r="C9" s="16">
        <v>797.6</v>
      </c>
      <c r="D9" s="209">
        <v>47.884999999999998</v>
      </c>
      <c r="E9" s="16">
        <v>776.3</v>
      </c>
      <c r="F9" s="209">
        <v>49.274999999999999</v>
      </c>
      <c r="G9" s="16">
        <v>798.8</v>
      </c>
      <c r="H9" s="209">
        <v>49.52</v>
      </c>
      <c r="I9" s="16">
        <v>802.7</v>
      </c>
      <c r="J9" s="43">
        <v>46.18</v>
      </c>
      <c r="K9" s="16">
        <v>748.5</v>
      </c>
      <c r="M9" s="239"/>
      <c r="O9" s="239"/>
      <c r="Q9" s="239"/>
    </row>
    <row r="10" spans="1:17" x14ac:dyDescent="0.2">
      <c r="A10" s="1" t="s">
        <v>132</v>
      </c>
      <c r="B10" s="209">
        <v>29.48</v>
      </c>
      <c r="C10" s="16">
        <v>452.7</v>
      </c>
      <c r="D10" s="209">
        <v>24.77</v>
      </c>
      <c r="E10" s="16">
        <v>380.4</v>
      </c>
      <c r="F10" s="209">
        <v>25</v>
      </c>
      <c r="G10" s="16">
        <v>383.9</v>
      </c>
      <c r="H10" s="209">
        <v>23.35</v>
      </c>
      <c r="I10" s="16">
        <v>358.6</v>
      </c>
      <c r="J10" s="43">
        <v>22.5</v>
      </c>
      <c r="K10" s="16">
        <v>345.5</v>
      </c>
      <c r="M10" s="239"/>
      <c r="O10" s="239"/>
      <c r="Q10" s="239"/>
    </row>
    <row r="11" spans="1:17" x14ac:dyDescent="0.2">
      <c r="A11" s="1" t="s">
        <v>130</v>
      </c>
      <c r="B11" s="209">
        <v>18.75</v>
      </c>
      <c r="C11" s="16">
        <v>308.5</v>
      </c>
      <c r="D11" s="209">
        <v>16.510000000000002</v>
      </c>
      <c r="E11" s="16">
        <v>271.7</v>
      </c>
      <c r="F11" s="209">
        <v>14.18</v>
      </c>
      <c r="G11" s="16">
        <v>233.3</v>
      </c>
      <c r="H11" s="209">
        <v>20.059999999999999</v>
      </c>
      <c r="I11" s="16">
        <v>330.1</v>
      </c>
      <c r="J11" s="43">
        <v>17.899999999999999</v>
      </c>
      <c r="K11" s="16">
        <v>294.5</v>
      </c>
      <c r="M11" s="239"/>
      <c r="O11" s="239"/>
      <c r="Q11" s="239"/>
    </row>
    <row r="12" spans="1:17" x14ac:dyDescent="0.2">
      <c r="A12" s="1" t="s">
        <v>140</v>
      </c>
      <c r="B12" s="15"/>
      <c r="C12" s="16">
        <v>235.3</v>
      </c>
      <c r="D12" s="209">
        <v>13.76</v>
      </c>
      <c r="E12" s="16">
        <v>235.5</v>
      </c>
      <c r="F12" s="209">
        <v>13.92</v>
      </c>
      <c r="G12" s="16">
        <v>238.2</v>
      </c>
      <c r="H12" s="209">
        <v>10.84</v>
      </c>
      <c r="I12" s="16">
        <v>185.5</v>
      </c>
      <c r="J12" s="43">
        <v>10.8</v>
      </c>
      <c r="K12" s="16">
        <v>184.8</v>
      </c>
      <c r="M12" s="239"/>
      <c r="O12" s="239"/>
      <c r="Q12" s="239"/>
    </row>
    <row r="13" spans="1:17" x14ac:dyDescent="0.2">
      <c r="A13" s="101" t="s">
        <v>134</v>
      </c>
      <c r="B13" s="43"/>
      <c r="C13" s="16">
        <v>116.4</v>
      </c>
      <c r="D13" s="43"/>
      <c r="E13" s="16">
        <v>207.9</v>
      </c>
      <c r="F13" s="43"/>
      <c r="G13" s="16">
        <v>184.5</v>
      </c>
      <c r="H13" s="43"/>
      <c r="I13" s="16">
        <v>183</v>
      </c>
      <c r="J13" s="43"/>
      <c r="K13" s="16">
        <v>170.6</v>
      </c>
      <c r="M13" s="239"/>
      <c r="O13" s="239"/>
      <c r="Q13" s="239"/>
    </row>
    <row r="14" spans="1:17" x14ac:dyDescent="0.2">
      <c r="A14" s="102" t="s">
        <v>126</v>
      </c>
      <c r="B14" s="15"/>
      <c r="C14" s="16">
        <v>1785</v>
      </c>
      <c r="D14" s="15"/>
      <c r="E14" s="16">
        <v>1695.6</v>
      </c>
      <c r="F14" s="15"/>
      <c r="G14" s="16">
        <v>1435.6</v>
      </c>
      <c r="H14" s="15"/>
      <c r="I14" s="16">
        <v>1381</v>
      </c>
      <c r="J14" s="15"/>
      <c r="K14" s="16">
        <v>1374.4</v>
      </c>
      <c r="M14" s="239"/>
      <c r="O14" s="239"/>
      <c r="Q14" s="239"/>
    </row>
    <row r="15" spans="1:17" x14ac:dyDescent="0.2">
      <c r="A15" s="50" t="s">
        <v>142</v>
      </c>
      <c r="B15" s="51"/>
      <c r="C15" s="16">
        <v>-277.2</v>
      </c>
      <c r="D15" s="51"/>
      <c r="E15" s="16">
        <v>-80.5</v>
      </c>
      <c r="F15" s="51"/>
      <c r="G15" s="16">
        <v>-44.6</v>
      </c>
      <c r="H15" s="51"/>
      <c r="I15" s="16">
        <v>-176</v>
      </c>
      <c r="J15" s="51"/>
      <c r="K15" s="16">
        <f>199.6-1069.4+376.5</f>
        <v>-493.30000000000007</v>
      </c>
      <c r="M15" s="239"/>
      <c r="O15" s="239"/>
      <c r="Q15" s="239"/>
    </row>
    <row r="16" spans="1:17" x14ac:dyDescent="0.2">
      <c r="A16" s="56" t="s">
        <v>135</v>
      </c>
      <c r="B16" s="57"/>
      <c r="C16" s="58">
        <v>20349.400000000001</v>
      </c>
      <c r="D16" s="57"/>
      <c r="E16" s="58">
        <v>19223.599999999999</v>
      </c>
      <c r="F16" s="57"/>
      <c r="G16" s="58">
        <v>18701.400000000001</v>
      </c>
      <c r="H16" s="57"/>
      <c r="I16" s="58">
        <v>18482.599999999999</v>
      </c>
      <c r="J16" s="57"/>
      <c r="K16" s="58">
        <v>16192.7</v>
      </c>
      <c r="M16" s="239"/>
      <c r="O16" s="239"/>
      <c r="Q16" s="239"/>
    </row>
    <row r="17" spans="1:17" x14ac:dyDescent="0.2">
      <c r="A17" s="66" t="s">
        <v>136</v>
      </c>
      <c r="B17" s="67"/>
      <c r="C17" s="68">
        <v>126.11</v>
      </c>
      <c r="D17" s="67"/>
      <c r="E17" s="68">
        <v>119.14</v>
      </c>
      <c r="F17" s="67"/>
      <c r="G17" s="68">
        <v>115.9</v>
      </c>
      <c r="H17" s="67"/>
      <c r="I17" s="68">
        <v>114.54</v>
      </c>
      <c r="J17" s="67"/>
      <c r="K17" s="68">
        <v>100.35</v>
      </c>
      <c r="M17" s="239"/>
      <c r="O17" s="239"/>
      <c r="Q17" s="239"/>
    </row>
    <row r="18" spans="1:17" x14ac:dyDescent="0.2">
      <c r="A18" s="66" t="s">
        <v>114</v>
      </c>
      <c r="B18" s="67"/>
      <c r="C18" s="73">
        <v>93.96</v>
      </c>
      <c r="D18" s="67"/>
      <c r="E18" s="73">
        <v>88.1</v>
      </c>
      <c r="F18" s="67"/>
      <c r="G18" s="73">
        <v>86.28</v>
      </c>
      <c r="H18" s="67"/>
      <c r="I18" s="73">
        <v>86.62</v>
      </c>
      <c r="J18" s="67"/>
      <c r="K18" s="73">
        <v>76.08</v>
      </c>
      <c r="M18" s="239"/>
      <c r="O18" s="239"/>
      <c r="Q18" s="239"/>
    </row>
    <row r="19" spans="1:17" x14ac:dyDescent="0.2">
      <c r="A19" s="74"/>
      <c r="B19" s="75"/>
      <c r="C19" s="76"/>
      <c r="D19" s="75"/>
      <c r="E19" s="76"/>
      <c r="F19" s="75"/>
      <c r="G19" s="76"/>
      <c r="H19" s="75"/>
      <c r="I19" s="76"/>
      <c r="J19" s="75"/>
      <c r="K19" s="76"/>
    </row>
    <row r="20" spans="1:17" x14ac:dyDescent="0.2">
      <c r="A20" s="64" t="s">
        <v>78</v>
      </c>
      <c r="B20" s="82"/>
      <c r="C20" s="83">
        <v>161358287</v>
      </c>
      <c r="D20" s="82"/>
      <c r="E20" s="83">
        <v>161358287</v>
      </c>
      <c r="F20" s="82"/>
      <c r="G20" s="83">
        <v>161358287</v>
      </c>
      <c r="H20" s="82"/>
      <c r="I20" s="83">
        <v>161358287</v>
      </c>
      <c r="J20" s="82"/>
      <c r="K20" s="83">
        <v>161358287</v>
      </c>
    </row>
    <row r="22" spans="1:17" x14ac:dyDescent="0.2">
      <c r="B22" s="90"/>
      <c r="C22" s="91"/>
      <c r="D22" s="90"/>
      <c r="E22" s="91"/>
      <c r="F22" s="90"/>
      <c r="G22" s="91"/>
      <c r="H22" s="90"/>
      <c r="I22" s="91"/>
      <c r="J22" s="90"/>
      <c r="K22" s="91"/>
    </row>
    <row r="23" spans="1:17" x14ac:dyDescent="0.2">
      <c r="B23" s="94"/>
      <c r="D23" s="94"/>
      <c r="F23" s="94"/>
      <c r="H23" s="94"/>
      <c r="J23" s="94"/>
    </row>
    <row r="24" spans="1:17" x14ac:dyDescent="0.2">
      <c r="B24" s="94"/>
      <c r="D24" s="94"/>
      <c r="F24" s="94"/>
      <c r="H24" s="94"/>
      <c r="J24" s="94"/>
    </row>
    <row r="25" spans="1:17" x14ac:dyDescent="0.2">
      <c r="B25" s="94"/>
      <c r="D25" s="94"/>
      <c r="F25" s="94"/>
      <c r="H25" s="94"/>
      <c r="J25" s="94"/>
    </row>
    <row r="26" spans="1:17" x14ac:dyDescent="0.2">
      <c r="B26" s="94"/>
      <c r="D26" s="94"/>
      <c r="F26" s="94"/>
      <c r="H26" s="94"/>
      <c r="J26" s="9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3B14-3011-4F8C-A8C3-20EEE4FD5A80}">
  <dimension ref="A1:M27"/>
  <sheetViews>
    <sheetView showGridLines="0" workbookViewId="0">
      <selection activeCell="A21" sqref="A21"/>
    </sheetView>
  </sheetViews>
  <sheetFormatPr defaultColWidth="9.140625" defaultRowHeight="12.75" x14ac:dyDescent="0.2"/>
  <cols>
    <col min="1" max="1" width="42.28515625" style="97" bestFit="1" customWidth="1"/>
    <col min="2" max="2" width="13.42578125" style="85" customWidth="1"/>
    <col min="3" max="3" width="12.42578125" style="45" customWidth="1"/>
    <col min="4" max="4" width="13.42578125" style="85" customWidth="1"/>
    <col min="5" max="5" width="12.42578125" style="45" customWidth="1"/>
    <col min="6" max="6" width="13.42578125" style="109" customWidth="1"/>
    <col min="7" max="7" width="12.42578125" style="110" customWidth="1"/>
    <col min="8" max="8" width="13.42578125" style="109" customWidth="1"/>
    <col min="9" max="9" width="12.42578125" style="110" customWidth="1"/>
    <col min="10" max="16384" width="9.140625" style="214"/>
  </cols>
  <sheetData>
    <row r="1" spans="1:13" x14ac:dyDescent="0.2">
      <c r="A1" s="95" t="s">
        <v>0</v>
      </c>
      <c r="B1" s="3"/>
      <c r="C1" s="4">
        <v>44196</v>
      </c>
      <c r="D1" s="3"/>
      <c r="E1" s="4">
        <v>44012</v>
      </c>
      <c r="F1" s="212"/>
      <c r="G1" s="213">
        <v>43921</v>
      </c>
      <c r="H1" s="212"/>
      <c r="I1" s="213">
        <v>43830</v>
      </c>
    </row>
    <row r="2" spans="1:13" x14ac:dyDescent="0.2">
      <c r="A2" s="101" t="s">
        <v>128</v>
      </c>
      <c r="B2" s="209">
        <v>297.89999999999998</v>
      </c>
      <c r="C2" s="16">
        <v>4085.56</v>
      </c>
      <c r="D2" s="209">
        <v>233.6</v>
      </c>
      <c r="E2" s="16">
        <v>3203.7128064000003</v>
      </c>
      <c r="F2" s="218">
        <v>205.9</v>
      </c>
      <c r="G2" s="216">
        <v>2823.4</v>
      </c>
      <c r="H2" s="218">
        <v>289.8</v>
      </c>
      <c r="I2" s="216">
        <v>3951.3</v>
      </c>
      <c r="K2" s="217"/>
      <c r="M2" s="217"/>
    </row>
    <row r="3" spans="1:13" x14ac:dyDescent="0.2">
      <c r="A3" s="102" t="s">
        <v>93</v>
      </c>
      <c r="B3" s="211">
        <v>2670</v>
      </c>
      <c r="C3" s="16">
        <v>3539.4949999999999</v>
      </c>
      <c r="D3" s="211">
        <v>2315</v>
      </c>
      <c r="E3" s="16">
        <v>3112.3958924044696</v>
      </c>
      <c r="F3" s="215">
        <v>2242</v>
      </c>
      <c r="G3" s="216">
        <v>3033</v>
      </c>
      <c r="H3" s="215">
        <v>2651</v>
      </c>
      <c r="I3" s="216">
        <v>3094.5</v>
      </c>
      <c r="K3" s="217"/>
      <c r="M3" s="217"/>
    </row>
    <row r="4" spans="1:13" x14ac:dyDescent="0.2">
      <c r="A4" s="102" t="s">
        <v>82</v>
      </c>
      <c r="B4" s="210">
        <v>156.80000000000001</v>
      </c>
      <c r="C4" s="16">
        <v>3119.2</v>
      </c>
      <c r="D4" s="210">
        <v>140.05000000000001</v>
      </c>
      <c r="E4" s="16">
        <v>2785.9964435000002</v>
      </c>
      <c r="F4" s="219">
        <v>129.44999999999999</v>
      </c>
      <c r="G4" s="216">
        <v>2575.1</v>
      </c>
      <c r="H4" s="219">
        <v>159.4</v>
      </c>
      <c r="I4" s="216">
        <v>3170.9</v>
      </c>
      <c r="K4" s="217"/>
      <c r="M4" s="217"/>
    </row>
    <row r="5" spans="1:13" x14ac:dyDescent="0.2">
      <c r="A5" s="101" t="s">
        <v>127</v>
      </c>
      <c r="B5" s="238">
        <v>48.62</v>
      </c>
      <c r="C5" s="34">
        <v>2099.88</v>
      </c>
      <c r="D5" s="238">
        <v>41.51</v>
      </c>
      <c r="E5" s="34">
        <v>1818.222610092949</v>
      </c>
      <c r="F5" s="220">
        <v>35.36</v>
      </c>
      <c r="G5" s="221">
        <v>1558.5</v>
      </c>
      <c r="H5" s="220">
        <v>53.7</v>
      </c>
      <c r="I5" s="221">
        <v>2308.1999999999998</v>
      </c>
      <c r="K5" s="217"/>
      <c r="M5" s="217"/>
    </row>
    <row r="6" spans="1:13" x14ac:dyDescent="0.2">
      <c r="A6" s="102" t="s">
        <v>84</v>
      </c>
      <c r="B6" s="209">
        <v>38.659999999999997</v>
      </c>
      <c r="C6" s="16">
        <v>1794.17</v>
      </c>
      <c r="D6" s="209">
        <v>30.34</v>
      </c>
      <c r="E6" s="16">
        <v>1408.0454798799999</v>
      </c>
      <c r="F6" s="218">
        <v>22.92</v>
      </c>
      <c r="G6" s="216">
        <v>983.7</v>
      </c>
      <c r="H6" s="218">
        <v>37.68</v>
      </c>
      <c r="I6" s="216">
        <v>1617.2</v>
      </c>
      <c r="K6" s="217"/>
      <c r="M6" s="217"/>
    </row>
    <row r="7" spans="1:13" x14ac:dyDescent="0.2">
      <c r="A7" s="101" t="s">
        <v>129</v>
      </c>
      <c r="B7" s="209">
        <v>39.29</v>
      </c>
      <c r="C7" s="16">
        <v>1744.18</v>
      </c>
      <c r="D7" s="209">
        <v>41.91</v>
      </c>
      <c r="E7" s="16">
        <v>1860.4872023099999</v>
      </c>
      <c r="F7" s="218">
        <v>31.85</v>
      </c>
      <c r="G7" s="216">
        <v>1412</v>
      </c>
      <c r="H7" s="218">
        <v>43.36</v>
      </c>
      <c r="I7" s="216">
        <v>1922.3</v>
      </c>
      <c r="K7" s="217"/>
      <c r="M7" s="217"/>
    </row>
    <row r="8" spans="1:13" x14ac:dyDescent="0.2">
      <c r="A8" s="102" t="s">
        <v>141</v>
      </c>
      <c r="B8" s="209"/>
      <c r="C8" s="16">
        <v>1043.8499999999999</v>
      </c>
      <c r="D8" s="209"/>
      <c r="E8" s="16">
        <v>863.54307697000002</v>
      </c>
      <c r="F8" s="222"/>
      <c r="G8" s="216">
        <v>866.7</v>
      </c>
      <c r="H8" s="218"/>
      <c r="I8" s="216">
        <v>866.7</v>
      </c>
      <c r="K8" s="217"/>
      <c r="M8" s="217"/>
    </row>
    <row r="9" spans="1:13" x14ac:dyDescent="0.2">
      <c r="A9" s="102" t="s">
        <v>143</v>
      </c>
      <c r="B9" s="240">
        <v>191</v>
      </c>
      <c r="C9" s="16">
        <v>551.74</v>
      </c>
      <c r="D9" s="209"/>
      <c r="E9" s="16"/>
      <c r="F9" s="222"/>
      <c r="G9" s="216"/>
      <c r="H9" s="218"/>
      <c r="I9" s="216"/>
      <c r="K9" s="217"/>
      <c r="M9" s="217"/>
    </row>
    <row r="10" spans="1:13" x14ac:dyDescent="0.2">
      <c r="A10" s="101" t="s">
        <v>132</v>
      </c>
      <c r="B10" s="209">
        <v>29.28</v>
      </c>
      <c r="C10" s="16">
        <v>449.67</v>
      </c>
      <c r="D10" s="209">
        <v>28.15</v>
      </c>
      <c r="E10" s="16">
        <v>432.312499</v>
      </c>
      <c r="F10" s="218">
        <v>18.725000000000001</v>
      </c>
      <c r="G10" s="216">
        <v>287.60000000000002</v>
      </c>
      <c r="H10" s="218">
        <v>29.48</v>
      </c>
      <c r="I10" s="216">
        <v>452.7</v>
      </c>
      <c r="K10" s="217"/>
      <c r="M10" s="217"/>
    </row>
    <row r="11" spans="1:13" x14ac:dyDescent="0.2">
      <c r="A11" s="101" t="s">
        <v>130</v>
      </c>
      <c r="B11" s="209">
        <v>11</v>
      </c>
      <c r="C11" s="16">
        <v>181</v>
      </c>
      <c r="D11" s="209">
        <v>13.03</v>
      </c>
      <c r="E11" s="16">
        <v>214.40152259000001</v>
      </c>
      <c r="F11" s="218">
        <v>15.9</v>
      </c>
      <c r="G11" s="216">
        <v>261.60000000000002</v>
      </c>
      <c r="H11" s="218">
        <v>18.75</v>
      </c>
      <c r="I11" s="216">
        <v>308.5</v>
      </c>
      <c r="K11" s="217"/>
      <c r="M11" s="217"/>
    </row>
    <row r="12" spans="1:13" x14ac:dyDescent="0.2">
      <c r="A12" s="101" t="s">
        <v>140</v>
      </c>
      <c r="B12" s="209"/>
      <c r="C12" s="16">
        <v>106.33</v>
      </c>
      <c r="D12" s="209"/>
      <c r="E12" s="16">
        <v>183.91128910782001</v>
      </c>
      <c r="F12" s="222"/>
      <c r="G12" s="216">
        <v>235.3</v>
      </c>
      <c r="H12" s="218"/>
      <c r="I12" s="216">
        <v>235.3</v>
      </c>
      <c r="K12" s="217"/>
      <c r="M12" s="217"/>
    </row>
    <row r="13" spans="1:13" x14ac:dyDescent="0.2">
      <c r="A13" s="102" t="s">
        <v>79</v>
      </c>
      <c r="B13" s="209">
        <v>35.299999999999997</v>
      </c>
      <c r="C13" s="16">
        <v>9.43</v>
      </c>
      <c r="D13" s="209">
        <v>33.975000000000001</v>
      </c>
      <c r="E13" s="16">
        <v>9.0740769749999988</v>
      </c>
      <c r="F13" s="218">
        <v>35.39</v>
      </c>
      <c r="G13" s="216">
        <v>9.5</v>
      </c>
      <c r="H13" s="218">
        <v>49.2</v>
      </c>
      <c r="I13" s="216">
        <v>797.6</v>
      </c>
      <c r="K13" s="217"/>
      <c r="M13" s="217"/>
    </row>
    <row r="14" spans="1:13" x14ac:dyDescent="0.2">
      <c r="A14" s="101" t="s">
        <v>134</v>
      </c>
      <c r="B14" s="43"/>
      <c r="C14" s="16">
        <v>94</v>
      </c>
      <c r="D14" s="43"/>
      <c r="E14" s="16">
        <v>431.43864560245601</v>
      </c>
      <c r="F14" s="223"/>
      <c r="G14" s="216">
        <v>140.9</v>
      </c>
      <c r="H14" s="223"/>
      <c r="I14" s="216">
        <v>116.4</v>
      </c>
      <c r="K14" s="217"/>
      <c r="M14" s="217"/>
    </row>
    <row r="15" spans="1:13" x14ac:dyDescent="0.2">
      <c r="A15" s="102" t="s">
        <v>126</v>
      </c>
      <c r="B15" s="15"/>
      <c r="C15" s="16">
        <v>2521.0500000000002</v>
      </c>
      <c r="D15" s="15"/>
      <c r="E15" s="16">
        <v>1912.9975195348748</v>
      </c>
      <c r="F15" s="222"/>
      <c r="G15" s="216">
        <v>1720.7</v>
      </c>
      <c r="H15" s="222"/>
      <c r="I15" s="216">
        <v>1785</v>
      </c>
      <c r="K15" s="217"/>
      <c r="M15" s="217"/>
    </row>
    <row r="16" spans="1:13" x14ac:dyDescent="0.2">
      <c r="A16" s="237" t="s">
        <v>142</v>
      </c>
      <c r="B16" s="51"/>
      <c r="C16" s="16">
        <v>-841.65</v>
      </c>
      <c r="D16" s="51"/>
      <c r="E16" s="16">
        <v>-696.82873766979174</v>
      </c>
      <c r="F16" s="224"/>
      <c r="G16" s="216">
        <v>-33.299999999999997</v>
      </c>
      <c r="H16" s="224"/>
      <c r="I16" s="216">
        <v>-277.2</v>
      </c>
      <c r="K16" s="217"/>
      <c r="M16" s="217"/>
    </row>
    <row r="17" spans="1:13" x14ac:dyDescent="0.2">
      <c r="A17" s="56" t="s">
        <v>135</v>
      </c>
      <c r="B17" s="57"/>
      <c r="C17" s="58">
        <v>20497.87</v>
      </c>
      <c r="D17" s="57"/>
      <c r="E17" s="58">
        <v>17539.710326697779</v>
      </c>
      <c r="F17" s="225"/>
      <c r="G17" s="226">
        <v>15874.6</v>
      </c>
      <c r="H17" s="225"/>
      <c r="I17" s="226">
        <v>20349.400000000001</v>
      </c>
      <c r="K17" s="217"/>
      <c r="M17" s="217"/>
    </row>
    <row r="18" spans="1:13" x14ac:dyDescent="0.2">
      <c r="A18" s="66" t="s">
        <v>136</v>
      </c>
      <c r="B18" s="67"/>
      <c r="C18" s="68">
        <v>127.03</v>
      </c>
      <c r="D18" s="67"/>
      <c r="E18" s="68">
        <v>108.70039991622977</v>
      </c>
      <c r="F18" s="227"/>
      <c r="G18" s="228">
        <v>98.38</v>
      </c>
      <c r="H18" s="227"/>
      <c r="I18" s="228">
        <v>126.11</v>
      </c>
      <c r="K18" s="217"/>
      <c r="M18" s="217"/>
    </row>
    <row r="19" spans="1:13" x14ac:dyDescent="0.2">
      <c r="A19" s="66" t="s">
        <v>114</v>
      </c>
      <c r="B19" s="67"/>
      <c r="C19" s="73">
        <v>82.52</v>
      </c>
      <c r="D19" s="67"/>
      <c r="E19" s="73">
        <v>74.680000000000007</v>
      </c>
      <c r="F19" s="227"/>
      <c r="G19" s="229">
        <v>71.62</v>
      </c>
      <c r="H19" s="227"/>
      <c r="I19" s="229">
        <v>93.96</v>
      </c>
      <c r="K19" s="217"/>
      <c r="M19" s="217"/>
    </row>
    <row r="20" spans="1:13" x14ac:dyDescent="0.2">
      <c r="A20" s="74"/>
      <c r="B20" s="75"/>
      <c r="C20" s="76"/>
      <c r="D20" s="75"/>
      <c r="E20" s="76"/>
      <c r="F20" s="230"/>
      <c r="G20" s="231"/>
      <c r="H20" s="230"/>
      <c r="I20" s="231"/>
    </row>
    <row r="21" spans="1:13" x14ac:dyDescent="0.2">
      <c r="A21" s="64" t="s">
        <v>78</v>
      </c>
      <c r="B21" s="82"/>
      <c r="C21" s="83">
        <v>161358287</v>
      </c>
      <c r="D21" s="82"/>
      <c r="E21" s="83">
        <v>161358287</v>
      </c>
      <c r="F21" s="232"/>
      <c r="G21" s="233">
        <v>161358287</v>
      </c>
      <c r="H21" s="232"/>
      <c r="I21" s="233">
        <v>161358287</v>
      </c>
      <c r="K21" s="217"/>
      <c r="M21" s="217"/>
    </row>
    <row r="23" spans="1:13" x14ac:dyDescent="0.2">
      <c r="B23" s="90"/>
      <c r="C23" s="91"/>
      <c r="D23" s="90"/>
      <c r="E23" s="91"/>
      <c r="F23" s="234"/>
      <c r="G23" s="235"/>
      <c r="H23" s="234"/>
      <c r="I23" s="235"/>
    </row>
    <row r="24" spans="1:13" x14ac:dyDescent="0.2">
      <c r="B24" s="94"/>
      <c r="D24" s="94"/>
      <c r="F24" s="236"/>
      <c r="H24" s="236"/>
    </row>
    <row r="25" spans="1:13" x14ac:dyDescent="0.2">
      <c r="B25" s="94"/>
      <c r="D25" s="94"/>
      <c r="F25" s="236"/>
      <c r="H25" s="236"/>
    </row>
    <row r="26" spans="1:13" x14ac:dyDescent="0.2">
      <c r="B26" s="94"/>
      <c r="D26" s="94"/>
      <c r="F26" s="236"/>
      <c r="H26" s="236"/>
    </row>
    <row r="27" spans="1:13" x14ac:dyDescent="0.2">
      <c r="B27" s="94"/>
      <c r="D27" s="94"/>
      <c r="F27" s="236"/>
      <c r="H27" s="23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FBDB-CED3-483A-A755-F59242AFC420}">
  <dimension ref="A1:AQ29"/>
  <sheetViews>
    <sheetView workbookViewId="0">
      <selection activeCell="A18" sqref="A18:A23"/>
    </sheetView>
  </sheetViews>
  <sheetFormatPr defaultRowHeight="12.75" x14ac:dyDescent="0.2"/>
  <cols>
    <col min="1" max="1" width="35.140625" style="241" customWidth="1"/>
    <col min="2" max="3" width="9.140625" style="241" hidden="1" customWidth="1"/>
    <col min="4" max="4" width="12.140625" style="241" customWidth="1"/>
    <col min="5" max="5" width="10.85546875" style="241" bestFit="1" customWidth="1"/>
    <col min="6" max="6" width="12.140625" style="241" customWidth="1"/>
    <col min="7" max="7" width="10" style="241" customWidth="1"/>
    <col min="8" max="8" width="13.7109375" style="241" customWidth="1"/>
    <col min="9" max="9" width="10.85546875" style="273" bestFit="1" customWidth="1"/>
    <col min="10" max="10" width="13.7109375" style="241" customWidth="1"/>
    <col min="11" max="11" width="10.85546875" style="273" bestFit="1" customWidth="1"/>
    <col min="12" max="12" width="10.85546875" style="241" bestFit="1" customWidth="1"/>
    <col min="13" max="13" width="10.85546875" style="273" bestFit="1" customWidth="1"/>
    <col min="14" max="43" width="9.140625" style="241"/>
  </cols>
  <sheetData>
    <row r="1" spans="1:26" x14ac:dyDescent="0.2">
      <c r="A1" s="95" t="s">
        <v>0</v>
      </c>
      <c r="B1" s="3"/>
      <c r="C1" s="4"/>
      <c r="D1" s="275"/>
      <c r="E1" s="4">
        <v>44561</v>
      </c>
      <c r="F1" s="275"/>
      <c r="G1" s="4">
        <v>44469</v>
      </c>
      <c r="H1" s="3"/>
      <c r="I1" s="4">
        <v>44377</v>
      </c>
      <c r="J1" s="3"/>
      <c r="K1" s="4">
        <v>44286</v>
      </c>
      <c r="L1" s="3"/>
      <c r="M1" s="4">
        <v>44196</v>
      </c>
    </row>
    <row r="2" spans="1:26" x14ac:dyDescent="0.2">
      <c r="A2" s="246" t="s">
        <v>82</v>
      </c>
      <c r="B2" s="248"/>
      <c r="C2" s="245"/>
      <c r="D2" s="211">
        <v>3047</v>
      </c>
      <c r="E2" s="245">
        <v>4223.3999999999996</v>
      </c>
      <c r="F2" s="248">
        <v>190.7</v>
      </c>
      <c r="G2" s="245">
        <v>3793.5703090000002</v>
      </c>
      <c r="H2" s="248">
        <v>187.2</v>
      </c>
      <c r="I2" s="245">
        <v>3723.945264</v>
      </c>
      <c r="J2" s="248">
        <v>160.05000000000001</v>
      </c>
      <c r="K2" s="245">
        <v>3183.9</v>
      </c>
      <c r="L2" s="248">
        <v>156.80000000000001</v>
      </c>
      <c r="M2" s="245">
        <v>3119.2</v>
      </c>
      <c r="N2" s="243"/>
      <c r="O2" s="244"/>
      <c r="P2" s="274"/>
      <c r="Q2" s="244"/>
      <c r="R2" s="274"/>
      <c r="S2" s="244"/>
      <c r="T2" s="274"/>
      <c r="U2" s="244"/>
      <c r="V2" s="274"/>
      <c r="W2" s="244"/>
      <c r="X2" s="274"/>
    </row>
    <row r="3" spans="1:26" x14ac:dyDescent="0.2">
      <c r="A3" s="243" t="s">
        <v>128</v>
      </c>
      <c r="B3" s="244"/>
      <c r="C3" s="245"/>
      <c r="D3" s="248">
        <v>211.5</v>
      </c>
      <c r="E3" s="245">
        <v>4207.3</v>
      </c>
      <c r="F3" s="244">
        <v>271.8</v>
      </c>
      <c r="G3" s="245">
        <v>3727.6076232000005</v>
      </c>
      <c r="H3" s="244">
        <v>313.89999999999998</v>
      </c>
      <c r="I3" s="245">
        <v>4304.9890835999995</v>
      </c>
      <c r="J3" s="244">
        <v>266.2</v>
      </c>
      <c r="K3" s="245">
        <v>3650.8</v>
      </c>
      <c r="L3" s="244">
        <v>297.89999999999998</v>
      </c>
      <c r="M3" s="245">
        <v>4085.56</v>
      </c>
      <c r="N3" s="246"/>
      <c r="O3" s="248"/>
      <c r="P3" s="274"/>
      <c r="Q3" s="248"/>
      <c r="R3" s="274"/>
      <c r="S3" s="248"/>
      <c r="T3" s="274"/>
      <c r="U3" s="248"/>
      <c r="V3" s="274"/>
      <c r="W3" s="248"/>
      <c r="X3" s="274"/>
    </row>
    <row r="4" spans="1:26" x14ac:dyDescent="0.2">
      <c r="A4" s="246" t="s">
        <v>93</v>
      </c>
      <c r="B4" s="247"/>
      <c r="C4" s="245"/>
      <c r="D4" s="244">
        <v>253.2</v>
      </c>
      <c r="E4" s="245">
        <v>3472.5</v>
      </c>
      <c r="F4" s="247">
        <v>2726</v>
      </c>
      <c r="G4" s="245">
        <v>3604.388685133888</v>
      </c>
      <c r="H4" s="247">
        <v>2854</v>
      </c>
      <c r="I4" s="245">
        <v>3722.0812695810559</v>
      </c>
      <c r="J4" s="247">
        <v>2681</v>
      </c>
      <c r="K4" s="245">
        <v>3468</v>
      </c>
      <c r="L4" s="247">
        <v>2670</v>
      </c>
      <c r="M4" s="245">
        <v>3539.4949999999999</v>
      </c>
      <c r="O4" s="242"/>
    </row>
    <row r="5" spans="1:26" x14ac:dyDescent="0.2">
      <c r="A5" s="243" t="s">
        <v>129</v>
      </c>
      <c r="B5" s="244"/>
      <c r="C5" s="245"/>
      <c r="D5" s="244">
        <v>36.54</v>
      </c>
      <c r="E5" s="245">
        <v>1695.8</v>
      </c>
      <c r="F5" s="244">
        <v>51.24</v>
      </c>
      <c r="G5" s="245">
        <v>2010.3532344</v>
      </c>
      <c r="H5" s="244">
        <v>51.5</v>
      </c>
      <c r="I5" s="245">
        <v>2020.5540900000001</v>
      </c>
      <c r="J5" s="244">
        <v>45.23</v>
      </c>
      <c r="K5" s="245">
        <v>2007.9</v>
      </c>
      <c r="L5" s="244">
        <v>39.29</v>
      </c>
      <c r="M5" s="245">
        <v>1744.18</v>
      </c>
      <c r="O5" s="242"/>
    </row>
    <row r="6" spans="1:26" x14ac:dyDescent="0.2">
      <c r="A6" s="246" t="s">
        <v>84</v>
      </c>
      <c r="B6" s="244"/>
      <c r="C6" s="245"/>
      <c r="D6" s="251"/>
      <c r="E6" s="245">
        <v>1553.2</v>
      </c>
      <c r="F6" s="244">
        <v>37.479999999999997</v>
      </c>
      <c r="G6" s="245">
        <v>1739.4048973599999</v>
      </c>
      <c r="H6" s="244">
        <v>39.4</v>
      </c>
      <c r="I6" s="245">
        <v>1828.5099507999998</v>
      </c>
      <c r="J6" s="244">
        <v>41.52</v>
      </c>
      <c r="K6" s="245">
        <v>1926.9</v>
      </c>
      <c r="L6" s="244">
        <v>38.659999999999997</v>
      </c>
      <c r="M6" s="245">
        <v>1794.17</v>
      </c>
      <c r="O6" s="242"/>
    </row>
    <row r="7" spans="1:26" x14ac:dyDescent="0.2">
      <c r="A7" s="246" t="s">
        <v>141</v>
      </c>
      <c r="B7" s="244"/>
      <c r="C7" s="245"/>
      <c r="D7" s="244">
        <v>35.75</v>
      </c>
      <c r="E7" s="245">
        <v>1402.6</v>
      </c>
      <c r="F7" s="251"/>
      <c r="G7" s="245">
        <v>1482.38234169</v>
      </c>
      <c r="H7" s="251"/>
      <c r="I7" s="245">
        <v>1391.90011496233</v>
      </c>
      <c r="J7" s="251"/>
      <c r="K7" s="245">
        <v>1110.3</v>
      </c>
      <c r="L7" s="244"/>
      <c r="M7" s="245">
        <v>1043.8499999999999</v>
      </c>
      <c r="O7" s="242"/>
    </row>
    <row r="8" spans="1:26" ht="14.85" customHeight="1" x14ac:dyDescent="0.2">
      <c r="A8" s="246" t="s">
        <v>143</v>
      </c>
      <c r="B8" s="252"/>
      <c r="C8" s="245"/>
      <c r="D8" s="251" t="s">
        <v>151</v>
      </c>
      <c r="E8" s="245">
        <v>756.9</v>
      </c>
      <c r="F8" s="251" t="s">
        <v>149</v>
      </c>
      <c r="G8" s="245">
        <v>791.52841390063952</v>
      </c>
      <c r="H8" s="251" t="s">
        <v>146</v>
      </c>
      <c r="I8" s="245">
        <v>779.96642124718585</v>
      </c>
      <c r="J8" s="251" t="s">
        <v>145</v>
      </c>
      <c r="K8" s="245">
        <v>769.1</v>
      </c>
      <c r="L8" s="252">
        <v>191</v>
      </c>
      <c r="M8" s="245">
        <v>551.74</v>
      </c>
      <c r="O8" s="242"/>
    </row>
    <row r="9" spans="1:26" x14ac:dyDescent="0.2">
      <c r="A9" s="243" t="s">
        <v>147</v>
      </c>
      <c r="B9" s="249"/>
      <c r="C9" s="250"/>
      <c r="D9" s="238">
        <v>46.51</v>
      </c>
      <c r="E9" s="250">
        <v>592.29999999999995</v>
      </c>
      <c r="F9" s="249">
        <v>45.14</v>
      </c>
      <c r="G9" s="250">
        <v>548.32587508771928</v>
      </c>
      <c r="H9" s="249">
        <v>55.5</v>
      </c>
      <c r="I9" s="250">
        <v>664.96116939890703</v>
      </c>
      <c r="J9" s="249">
        <v>55.54</v>
      </c>
      <c r="K9" s="250">
        <v>1783.8</v>
      </c>
      <c r="L9" s="249">
        <v>48.62</v>
      </c>
      <c r="M9" s="250">
        <v>2099.88</v>
      </c>
      <c r="O9" s="242"/>
    </row>
    <row r="10" spans="1:26" x14ac:dyDescent="0.2">
      <c r="A10" s="243" t="s">
        <v>132</v>
      </c>
      <c r="B10" s="244"/>
      <c r="C10" s="245"/>
      <c r="D10" s="244">
        <v>48.09</v>
      </c>
      <c r="E10" s="245">
        <v>455.3</v>
      </c>
      <c r="F10" s="244">
        <v>39.590000000000003</v>
      </c>
      <c r="G10" s="245">
        <v>474.73821953000009</v>
      </c>
      <c r="H10" s="244">
        <v>34.159999999999997</v>
      </c>
      <c r="I10" s="245">
        <v>446.49070535999994</v>
      </c>
      <c r="J10" s="244">
        <v>34.950000000000003</v>
      </c>
      <c r="K10" s="245">
        <v>536.70000000000005</v>
      </c>
      <c r="L10" s="244">
        <v>29.28</v>
      </c>
      <c r="M10" s="245">
        <v>449.67</v>
      </c>
      <c r="O10" s="242"/>
    </row>
    <row r="11" spans="1:26" x14ac:dyDescent="0.2">
      <c r="A11" s="243" t="s">
        <v>144</v>
      </c>
      <c r="B11" s="244"/>
      <c r="C11" s="245"/>
      <c r="D11" s="244"/>
      <c r="E11" s="245">
        <v>348.6</v>
      </c>
      <c r="F11" s="244"/>
      <c r="G11" s="245">
        <v>348.61610308280802</v>
      </c>
      <c r="H11" s="244"/>
      <c r="I11" s="245">
        <v>348.61610308280802</v>
      </c>
      <c r="J11" s="244"/>
      <c r="K11" s="245">
        <v>348.6</v>
      </c>
      <c r="L11" s="244"/>
      <c r="M11" s="245"/>
      <c r="O11" s="242"/>
    </row>
    <row r="12" spans="1:26" x14ac:dyDescent="0.2">
      <c r="A12" s="243" t="s">
        <v>150</v>
      </c>
      <c r="B12" s="244"/>
      <c r="C12" s="245"/>
      <c r="D12" s="244"/>
      <c r="E12" s="245">
        <v>266</v>
      </c>
      <c r="F12" s="244"/>
      <c r="G12" s="245">
        <v>265.99993647999997</v>
      </c>
      <c r="H12" s="244"/>
      <c r="I12" s="245"/>
      <c r="J12" s="244"/>
      <c r="K12" s="245"/>
      <c r="L12" s="244"/>
      <c r="M12" s="245"/>
      <c r="O12" s="242"/>
    </row>
    <row r="13" spans="1:26" x14ac:dyDescent="0.2">
      <c r="A13" s="243" t="s">
        <v>140</v>
      </c>
      <c r="B13" s="244"/>
      <c r="C13" s="245"/>
      <c r="D13" s="251"/>
      <c r="E13" s="245">
        <v>236</v>
      </c>
      <c r="F13" s="251"/>
      <c r="G13" s="245">
        <v>168.7001463</v>
      </c>
      <c r="H13" s="251"/>
      <c r="I13" s="245">
        <v>142.9819622</v>
      </c>
      <c r="J13" s="251"/>
      <c r="K13" s="245">
        <v>106.3</v>
      </c>
      <c r="L13" s="244"/>
      <c r="M13" s="245">
        <v>106.33</v>
      </c>
      <c r="N13" s="243"/>
      <c r="O13" s="244"/>
      <c r="P13" s="274"/>
      <c r="Q13" s="244"/>
      <c r="R13" s="274"/>
      <c r="S13" s="274"/>
      <c r="T13" s="274"/>
      <c r="U13" s="244"/>
      <c r="V13" s="274"/>
      <c r="W13" s="244"/>
      <c r="X13" s="274"/>
      <c r="Y13" s="244"/>
      <c r="Z13" s="274"/>
    </row>
    <row r="14" spans="1:26" x14ac:dyDescent="0.2">
      <c r="A14" s="243" t="s">
        <v>130</v>
      </c>
      <c r="B14" s="244"/>
      <c r="C14" s="245"/>
      <c r="D14" s="244">
        <v>6.99</v>
      </c>
      <c r="E14" s="245">
        <v>115</v>
      </c>
      <c r="F14" s="244">
        <v>9.2100000000000009</v>
      </c>
      <c r="G14" s="245">
        <v>151.54551213000002</v>
      </c>
      <c r="H14" s="244">
        <v>10.5</v>
      </c>
      <c r="I14" s="245">
        <v>172.77175650000001</v>
      </c>
      <c r="J14" s="244">
        <v>8.98</v>
      </c>
      <c r="K14" s="245">
        <v>147.80000000000001</v>
      </c>
      <c r="L14" s="244">
        <v>11</v>
      </c>
      <c r="M14" s="245">
        <v>181</v>
      </c>
      <c r="N14" s="243"/>
      <c r="O14" s="244"/>
      <c r="P14" s="274"/>
      <c r="Q14" s="244"/>
      <c r="R14" s="274"/>
      <c r="S14" s="274"/>
      <c r="T14" s="274"/>
      <c r="U14" s="251"/>
      <c r="V14" s="274"/>
      <c r="W14" s="251"/>
      <c r="X14" s="274"/>
      <c r="Y14" s="244"/>
      <c r="Z14" s="274"/>
    </row>
    <row r="15" spans="1:26" x14ac:dyDescent="0.2">
      <c r="A15" s="246" t="s">
        <v>148</v>
      </c>
      <c r="B15" s="244"/>
      <c r="C15" s="245"/>
      <c r="D15" s="244">
        <v>44.63</v>
      </c>
      <c r="E15" s="245">
        <v>11.9</v>
      </c>
      <c r="F15" s="244">
        <v>41.34</v>
      </c>
      <c r="G15" s="245">
        <v>11.039793135</v>
      </c>
      <c r="H15" s="244">
        <v>38.155000000000001</v>
      </c>
      <c r="I15" s="245">
        <v>10.199999999999999</v>
      </c>
      <c r="J15" s="244">
        <v>39.78</v>
      </c>
      <c r="K15" s="245">
        <v>10.6</v>
      </c>
      <c r="L15" s="244">
        <v>35.299999999999997</v>
      </c>
      <c r="M15" s="245">
        <v>9.43</v>
      </c>
      <c r="O15" s="242"/>
    </row>
    <row r="16" spans="1:26" x14ac:dyDescent="0.2">
      <c r="A16" s="243" t="s">
        <v>134</v>
      </c>
      <c r="B16" s="253"/>
      <c r="C16" s="245"/>
      <c r="D16" s="253"/>
      <c r="E16" s="245">
        <f>126.2+67.6</f>
        <v>193.8</v>
      </c>
      <c r="F16" s="253"/>
      <c r="G16" s="245">
        <v>200.9</v>
      </c>
      <c r="H16" s="253"/>
      <c r="I16" s="245">
        <v>150</v>
      </c>
      <c r="J16" s="253"/>
      <c r="K16" s="245">
        <v>117</v>
      </c>
      <c r="L16" s="253"/>
      <c r="M16" s="245">
        <v>94</v>
      </c>
      <c r="O16" s="242"/>
    </row>
    <row r="17" spans="1:15" x14ac:dyDescent="0.2">
      <c r="A17" s="254" t="s">
        <v>126</v>
      </c>
      <c r="B17" s="251"/>
      <c r="C17" s="245"/>
      <c r="D17" s="251"/>
      <c r="E17" s="245">
        <v>3181.9</v>
      </c>
      <c r="F17" s="251"/>
      <c r="G17" s="245">
        <v>2898.7</v>
      </c>
      <c r="H17" s="251"/>
      <c r="I17" s="245">
        <v>2707.4</v>
      </c>
      <c r="J17" s="251"/>
      <c r="K17" s="245">
        <v>2477.6</v>
      </c>
      <c r="L17" s="251"/>
      <c r="M17" s="245">
        <v>2521.0500000000002</v>
      </c>
      <c r="O17" s="242"/>
    </row>
    <row r="18" spans="1:15" x14ac:dyDescent="0.2">
      <c r="A18" s="255" t="s">
        <v>142</v>
      </c>
      <c r="B18" s="256"/>
      <c r="C18" s="245"/>
      <c r="D18" s="256"/>
      <c r="E18" s="245">
        <v>-211.6</v>
      </c>
      <c r="F18" s="256"/>
      <c r="G18" s="245">
        <v>271.38096026268477</v>
      </c>
      <c r="H18" s="256"/>
      <c r="I18" s="245">
        <v>641.20000000000005</v>
      </c>
      <c r="J18" s="256"/>
      <c r="K18" s="245">
        <v>-555.4</v>
      </c>
      <c r="L18" s="256"/>
      <c r="M18" s="245">
        <v>-841.65</v>
      </c>
    </row>
    <row r="19" spans="1:15" x14ac:dyDescent="0.2">
      <c r="A19" s="257" t="s">
        <v>135</v>
      </c>
      <c r="B19" s="258"/>
      <c r="C19" s="259"/>
      <c r="D19" s="258"/>
      <c r="E19" s="259">
        <v>22501</v>
      </c>
      <c r="F19" s="258"/>
      <c r="G19" s="259">
        <v>22489.200000000001</v>
      </c>
      <c r="H19" s="258"/>
      <c r="I19" s="259">
        <v>23056.9</v>
      </c>
      <c r="J19" s="258"/>
      <c r="K19" s="259">
        <v>21089.9</v>
      </c>
      <c r="L19" s="258"/>
      <c r="M19" s="259">
        <v>20497.87</v>
      </c>
    </row>
    <row r="20" spans="1:15" x14ac:dyDescent="0.2">
      <c r="A20" s="260" t="s">
        <v>136</v>
      </c>
      <c r="B20" s="261"/>
      <c r="C20" s="262"/>
      <c r="D20" s="261"/>
      <c r="E20" s="262">
        <v>143.91</v>
      </c>
      <c r="F20" s="261"/>
      <c r="G20" s="262">
        <v>139.37</v>
      </c>
      <c r="H20" s="261"/>
      <c r="I20" s="262">
        <v>142.88999999999999</v>
      </c>
      <c r="J20" s="261"/>
      <c r="K20" s="262">
        <v>130.69999999999999</v>
      </c>
      <c r="L20" s="261"/>
      <c r="M20" s="262">
        <v>127.03</v>
      </c>
    </row>
    <row r="21" spans="1:15" x14ac:dyDescent="0.2">
      <c r="A21" s="260" t="s">
        <v>114</v>
      </c>
      <c r="B21" s="261"/>
      <c r="C21" s="263"/>
      <c r="D21" s="261"/>
      <c r="E21" s="263">
        <v>98.16</v>
      </c>
      <c r="F21" s="261"/>
      <c r="G21" s="263">
        <v>95.08</v>
      </c>
      <c r="H21" s="261"/>
      <c r="I21" s="263">
        <v>94.34</v>
      </c>
      <c r="J21" s="261"/>
      <c r="K21" s="263">
        <v>88.26</v>
      </c>
      <c r="L21" s="261"/>
      <c r="M21" s="263">
        <v>82.52</v>
      </c>
    </row>
    <row r="22" spans="1:15" x14ac:dyDescent="0.2">
      <c r="A22" s="264"/>
      <c r="B22" s="265"/>
      <c r="C22" s="266"/>
      <c r="D22" s="265"/>
      <c r="E22" s="266"/>
      <c r="F22" s="265"/>
      <c r="G22" s="266"/>
      <c r="H22" s="265"/>
      <c r="I22" s="266"/>
      <c r="J22" s="265"/>
      <c r="K22" s="266"/>
      <c r="L22" s="265"/>
      <c r="M22" s="266"/>
    </row>
    <row r="23" spans="1:15" x14ac:dyDescent="0.2">
      <c r="A23" s="267" t="s">
        <v>78</v>
      </c>
      <c r="B23" s="268"/>
      <c r="C23" s="269"/>
      <c r="D23" s="268"/>
      <c r="E23" s="269">
        <v>156355000</v>
      </c>
      <c r="F23" s="268"/>
      <c r="G23" s="269">
        <v>161358287</v>
      </c>
      <c r="H23" s="268"/>
      <c r="I23" s="269">
        <v>161358287</v>
      </c>
      <c r="J23" s="268"/>
      <c r="K23" s="269">
        <v>161358287</v>
      </c>
      <c r="L23" s="268"/>
      <c r="M23" s="269">
        <v>161358287</v>
      </c>
    </row>
    <row r="25" spans="1:15" x14ac:dyDescent="0.2">
      <c r="B25" s="270"/>
      <c r="C25" s="271"/>
      <c r="D25" s="276"/>
      <c r="E25" s="276"/>
      <c r="F25" s="276"/>
      <c r="G25" s="276"/>
      <c r="H25" s="270"/>
      <c r="I25" s="271"/>
      <c r="J25" s="270"/>
      <c r="K25" s="271"/>
      <c r="L25" s="270"/>
      <c r="M25" s="271"/>
    </row>
    <row r="26" spans="1:15" x14ac:dyDescent="0.2">
      <c r="B26" s="272"/>
      <c r="H26" s="272"/>
      <c r="J26" s="272"/>
      <c r="L26" s="272"/>
    </row>
    <row r="27" spans="1:15" x14ac:dyDescent="0.2">
      <c r="B27" s="272"/>
      <c r="H27" s="272"/>
      <c r="J27" s="272"/>
      <c r="L27" s="272"/>
    </row>
    <row r="28" spans="1:15" x14ac:dyDescent="0.2">
      <c r="B28" s="272"/>
      <c r="H28" s="272"/>
      <c r="J28" s="272"/>
      <c r="L28" s="272"/>
    </row>
    <row r="29" spans="1:15" x14ac:dyDescent="0.2">
      <c r="B29" s="272"/>
      <c r="H29" s="272"/>
      <c r="J29" s="272"/>
      <c r="L29" s="27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3A23-2AC0-4F00-9125-4BC1215065FB}">
  <dimension ref="A1:AQ32"/>
  <sheetViews>
    <sheetView workbookViewId="0">
      <selection sqref="A1:C1048576"/>
    </sheetView>
  </sheetViews>
  <sheetFormatPr defaultColWidth="9.140625" defaultRowHeight="12.75" x14ac:dyDescent="0.2"/>
  <cols>
    <col min="1" max="1" width="35.7109375" style="299" bestFit="1" customWidth="1"/>
    <col min="2" max="2" width="13.42578125" style="304" customWidth="1"/>
    <col min="3" max="3" width="12.42578125" style="302" customWidth="1"/>
    <col min="4" max="4" width="13.42578125" style="304" customWidth="1"/>
    <col min="5" max="5" width="12.42578125" style="302" customWidth="1"/>
    <col min="6" max="6" width="13.42578125" style="304" customWidth="1"/>
    <col min="7" max="7" width="12.42578125" style="302" customWidth="1"/>
    <col min="8" max="8" width="13.42578125" style="304" customWidth="1"/>
    <col min="9" max="9" width="12.42578125" style="302" customWidth="1"/>
    <col min="10" max="10" width="13.42578125" style="304" customWidth="1"/>
    <col min="11" max="11" width="12.42578125" style="302" customWidth="1"/>
    <col min="12" max="12" width="13.42578125" style="305" customWidth="1"/>
    <col min="13" max="13" width="12.42578125" style="121" customWidth="1"/>
    <col min="14" max="14" width="13.42578125" style="305" customWidth="1"/>
    <col min="15" max="15" width="12.42578125" style="121" customWidth="1"/>
    <col min="16" max="16" width="13.42578125" style="305" customWidth="1"/>
    <col min="17" max="17" width="12.42578125" style="121" customWidth="1"/>
    <col min="18" max="18" width="13.42578125" style="305" customWidth="1"/>
    <col min="19" max="19" width="12.42578125" style="121" customWidth="1"/>
    <col min="20" max="43" width="9.140625" style="279"/>
    <col min="44" max="16384" width="9.140625" style="241"/>
  </cols>
  <sheetData>
    <row r="1" spans="1:30" x14ac:dyDescent="0.2">
      <c r="A1" s="95" t="s">
        <v>0</v>
      </c>
      <c r="B1" s="3"/>
      <c r="C1" s="4">
        <v>44926</v>
      </c>
      <c r="D1" s="3"/>
      <c r="E1" s="4">
        <v>44834</v>
      </c>
      <c r="F1" s="3"/>
      <c r="G1" s="4">
        <v>44742</v>
      </c>
      <c r="H1" s="3"/>
      <c r="I1" s="4">
        <v>44651</v>
      </c>
      <c r="J1" s="3"/>
      <c r="K1" s="4">
        <v>44561</v>
      </c>
      <c r="L1" s="277"/>
      <c r="M1" s="278"/>
      <c r="N1" s="277"/>
      <c r="O1" s="278"/>
      <c r="P1" s="277"/>
      <c r="Q1" s="278"/>
      <c r="R1" s="277"/>
      <c r="S1" s="278"/>
    </row>
    <row r="2" spans="1:30" x14ac:dyDescent="0.2">
      <c r="A2" s="246" t="s">
        <v>82</v>
      </c>
      <c r="B2" s="248">
        <v>183.75</v>
      </c>
      <c r="C2" s="245">
        <v>3266.2</v>
      </c>
      <c r="D2" s="248">
        <v>188.85</v>
      </c>
      <c r="E2" s="245">
        <v>3756.8</v>
      </c>
      <c r="F2" s="210">
        <v>175.3</v>
      </c>
      <c r="G2" s="245">
        <v>3487</v>
      </c>
      <c r="H2" s="210">
        <v>199.3</v>
      </c>
      <c r="I2" s="245">
        <v>3964.6</v>
      </c>
      <c r="J2" s="210">
        <v>211.5</v>
      </c>
      <c r="K2" s="245">
        <v>4207</v>
      </c>
      <c r="L2" s="280"/>
      <c r="M2" s="281"/>
      <c r="N2" s="280"/>
      <c r="O2" s="281"/>
      <c r="P2" s="280"/>
      <c r="Q2" s="281"/>
      <c r="R2" s="280"/>
      <c r="S2" s="281"/>
      <c r="U2" s="282"/>
    </row>
    <row r="3" spans="1:30" x14ac:dyDescent="0.2">
      <c r="A3" s="246" t="s">
        <v>93</v>
      </c>
      <c r="B3" s="248" t="s">
        <v>163</v>
      </c>
      <c r="C3" s="245">
        <v>3126.6</v>
      </c>
      <c r="D3" s="248" t="s">
        <v>160</v>
      </c>
      <c r="E3" s="245">
        <v>3182.7</v>
      </c>
      <c r="F3" s="248" t="s">
        <v>155</v>
      </c>
      <c r="G3" s="245">
        <v>3141</v>
      </c>
      <c r="H3" s="248" t="s">
        <v>152</v>
      </c>
      <c r="I3" s="245">
        <v>3592.8</v>
      </c>
      <c r="J3" s="248" t="s">
        <v>153</v>
      </c>
      <c r="K3" s="245">
        <v>4223</v>
      </c>
      <c r="L3" s="283"/>
      <c r="M3" s="281"/>
      <c r="N3" s="283"/>
      <c r="O3" s="281"/>
      <c r="P3" s="283"/>
      <c r="Q3" s="281"/>
      <c r="R3" s="283"/>
      <c r="S3" s="281"/>
      <c r="T3" s="284"/>
      <c r="U3" s="285"/>
      <c r="V3" s="281"/>
      <c r="W3" s="285"/>
      <c r="X3" s="281"/>
      <c r="Y3" s="285"/>
      <c r="Z3" s="281"/>
      <c r="AA3" s="285"/>
      <c r="AB3" s="281"/>
      <c r="AC3" s="285"/>
      <c r="AD3" s="281"/>
    </row>
    <row r="4" spans="1:30" x14ac:dyDescent="0.2">
      <c r="A4" s="1" t="s">
        <v>128</v>
      </c>
      <c r="B4" s="248">
        <v>127.46</v>
      </c>
      <c r="C4" s="245">
        <v>1748.1</v>
      </c>
      <c r="D4" s="248">
        <v>118.88</v>
      </c>
      <c r="E4" s="245">
        <v>1630</v>
      </c>
      <c r="F4" s="248">
        <v>168.76</v>
      </c>
      <c r="G4" s="245">
        <v>2314</v>
      </c>
      <c r="H4" s="248">
        <v>211.9</v>
      </c>
      <c r="I4" s="245">
        <v>2906.1</v>
      </c>
      <c r="J4" s="244">
        <v>253.2</v>
      </c>
      <c r="K4" s="245">
        <v>3472.5</v>
      </c>
      <c r="L4" s="285"/>
      <c r="M4" s="281"/>
      <c r="N4" s="285"/>
      <c r="O4" s="281"/>
      <c r="P4" s="285"/>
      <c r="Q4" s="281"/>
      <c r="R4" s="285"/>
      <c r="S4" s="281"/>
      <c r="T4" s="286"/>
      <c r="U4" s="283"/>
      <c r="V4" s="281"/>
      <c r="W4" s="283"/>
      <c r="X4" s="281"/>
      <c r="Y4" s="283"/>
      <c r="Z4" s="281"/>
      <c r="AA4" s="283"/>
      <c r="AB4" s="281"/>
      <c r="AC4" s="283"/>
      <c r="AD4" s="281"/>
    </row>
    <row r="5" spans="1:30" x14ac:dyDescent="0.2">
      <c r="A5" s="246" t="s">
        <v>141</v>
      </c>
      <c r="B5" s="251"/>
      <c r="C5" s="245">
        <v>1720.8</v>
      </c>
      <c r="D5" s="251"/>
      <c r="E5" s="245">
        <v>1712</v>
      </c>
      <c r="F5" s="251"/>
      <c r="G5" s="245">
        <v>1670</v>
      </c>
      <c r="H5" s="251"/>
      <c r="I5" s="245">
        <v>1648.7</v>
      </c>
      <c r="J5" s="251"/>
      <c r="K5" s="245">
        <v>1553.2</v>
      </c>
      <c r="L5" s="283"/>
      <c r="M5" s="281"/>
      <c r="N5" s="283"/>
      <c r="O5" s="281"/>
      <c r="P5" s="283"/>
      <c r="Q5" s="281"/>
      <c r="R5" s="285"/>
      <c r="S5" s="281"/>
      <c r="U5" s="282"/>
    </row>
    <row r="6" spans="1:30" x14ac:dyDescent="0.2">
      <c r="A6" s="246" t="s">
        <v>84</v>
      </c>
      <c r="B6" s="248">
        <v>36.340000000000003</v>
      </c>
      <c r="C6" s="245">
        <v>1686.5</v>
      </c>
      <c r="D6" s="248">
        <v>31.06</v>
      </c>
      <c r="E6" s="245">
        <v>1441.5</v>
      </c>
      <c r="F6" s="248">
        <v>29.06</v>
      </c>
      <c r="G6" s="245">
        <v>1349</v>
      </c>
      <c r="H6" s="248">
        <v>39</v>
      </c>
      <c r="I6" s="245">
        <v>1809.9</v>
      </c>
      <c r="J6" s="244">
        <v>36.54</v>
      </c>
      <c r="K6" s="245">
        <v>1695.8</v>
      </c>
      <c r="L6" s="285"/>
      <c r="M6" s="281"/>
      <c r="N6" s="285"/>
      <c r="O6" s="281"/>
      <c r="P6" s="285"/>
      <c r="Q6" s="281"/>
      <c r="R6" s="285"/>
      <c r="S6" s="281"/>
      <c r="U6" s="282"/>
    </row>
    <row r="7" spans="1:30" x14ac:dyDescent="0.2">
      <c r="A7" s="243" t="s">
        <v>129</v>
      </c>
      <c r="B7" s="248">
        <v>34.32</v>
      </c>
      <c r="C7" s="245">
        <v>1346.5</v>
      </c>
      <c r="D7" s="248">
        <v>30.13</v>
      </c>
      <c r="E7" s="245">
        <v>1182.0999999999999</v>
      </c>
      <c r="F7" s="248">
        <v>33.32</v>
      </c>
      <c r="G7" s="245">
        <v>1307</v>
      </c>
      <c r="H7" s="248">
        <v>39.36</v>
      </c>
      <c r="I7" s="245">
        <v>1544.3</v>
      </c>
      <c r="J7" s="244">
        <v>35.75</v>
      </c>
      <c r="K7" s="245">
        <v>1402.6</v>
      </c>
      <c r="L7" s="285"/>
      <c r="M7" s="281"/>
      <c r="N7" s="285"/>
      <c r="O7" s="281"/>
      <c r="P7" s="285"/>
      <c r="Q7" s="281"/>
      <c r="R7" s="285"/>
      <c r="S7" s="281"/>
      <c r="U7" s="282"/>
    </row>
    <row r="8" spans="1:30" x14ac:dyDescent="0.2">
      <c r="A8" s="243" t="s">
        <v>158</v>
      </c>
      <c r="B8" s="248"/>
      <c r="C8" s="245">
        <v>995.6</v>
      </c>
      <c r="D8" s="248"/>
      <c r="E8" s="245">
        <v>1000.2</v>
      </c>
      <c r="F8" s="248"/>
      <c r="G8" s="245"/>
      <c r="H8" s="248"/>
      <c r="I8" s="245"/>
      <c r="J8" s="244"/>
      <c r="K8" s="245"/>
      <c r="L8" s="285"/>
      <c r="M8" s="281"/>
      <c r="N8" s="285"/>
      <c r="O8" s="281"/>
      <c r="P8" s="285"/>
      <c r="Q8" s="281"/>
      <c r="R8" s="285"/>
      <c r="S8" s="281"/>
      <c r="U8" s="282"/>
    </row>
    <row r="9" spans="1:30" x14ac:dyDescent="0.2">
      <c r="A9" s="243" t="s">
        <v>159</v>
      </c>
      <c r="B9" s="248"/>
      <c r="C9" s="245">
        <v>711.2</v>
      </c>
      <c r="D9" s="248"/>
      <c r="E9" s="245">
        <v>727.7</v>
      </c>
      <c r="F9" s="248"/>
      <c r="G9" s="245"/>
      <c r="H9" s="248"/>
      <c r="I9" s="245"/>
      <c r="J9" s="244"/>
      <c r="K9" s="245"/>
      <c r="L9" s="285"/>
      <c r="M9" s="281"/>
      <c r="N9" s="285"/>
      <c r="O9" s="281"/>
      <c r="P9" s="285"/>
      <c r="Q9" s="281"/>
      <c r="R9" s="285"/>
      <c r="S9" s="281"/>
      <c r="U9" s="282"/>
    </row>
    <row r="10" spans="1:30" x14ac:dyDescent="0.2">
      <c r="A10" s="243" t="s">
        <v>147</v>
      </c>
      <c r="B10" s="249" t="s">
        <v>164</v>
      </c>
      <c r="C10" s="250">
        <v>567</v>
      </c>
      <c r="D10" s="249" t="s">
        <v>161</v>
      </c>
      <c r="E10" s="250">
        <v>563.9</v>
      </c>
      <c r="F10" s="238" t="s">
        <v>156</v>
      </c>
      <c r="G10" s="250">
        <v>540</v>
      </c>
      <c r="H10" s="238">
        <v>45.29</v>
      </c>
      <c r="I10" s="250">
        <v>580.29999999999995</v>
      </c>
      <c r="J10" s="238">
        <v>46.51</v>
      </c>
      <c r="K10" s="250">
        <v>592.29999999999995</v>
      </c>
      <c r="L10" s="288"/>
      <c r="M10" s="289"/>
      <c r="N10" s="288"/>
      <c r="O10" s="289"/>
      <c r="P10" s="288"/>
      <c r="Q10" s="289"/>
      <c r="R10" s="288"/>
      <c r="S10" s="289"/>
      <c r="U10" s="282"/>
    </row>
    <row r="11" spans="1:30" x14ac:dyDescent="0.2">
      <c r="A11" s="243" t="s">
        <v>144</v>
      </c>
      <c r="B11" s="244"/>
      <c r="C11" s="245">
        <v>439.1</v>
      </c>
      <c r="D11" s="244"/>
      <c r="E11" s="245">
        <v>429.1</v>
      </c>
      <c r="F11" s="244"/>
      <c r="G11" s="245">
        <v>424</v>
      </c>
      <c r="H11" s="244"/>
      <c r="I11" s="245">
        <v>392</v>
      </c>
      <c r="J11" s="244"/>
      <c r="K11" s="245">
        <v>348.6</v>
      </c>
      <c r="L11" s="285"/>
      <c r="M11" s="281"/>
      <c r="N11" s="285"/>
      <c r="O11" s="281"/>
      <c r="P11" s="285"/>
      <c r="Q11" s="281"/>
      <c r="R11" s="285"/>
      <c r="S11" s="281"/>
      <c r="U11" s="282"/>
    </row>
    <row r="12" spans="1:30" x14ac:dyDescent="0.2">
      <c r="A12" s="243" t="s">
        <v>132</v>
      </c>
      <c r="B12" s="244">
        <v>38.200000000000003</v>
      </c>
      <c r="C12" s="245">
        <v>434</v>
      </c>
      <c r="D12" s="244">
        <v>33.340000000000003</v>
      </c>
      <c r="E12" s="245">
        <v>378.8</v>
      </c>
      <c r="F12" s="244">
        <v>32.89</v>
      </c>
      <c r="G12" s="245">
        <v>374</v>
      </c>
      <c r="H12" s="244">
        <v>37.31</v>
      </c>
      <c r="I12" s="245">
        <v>423.9</v>
      </c>
      <c r="J12" s="244">
        <v>48.09</v>
      </c>
      <c r="K12" s="245">
        <v>455.3</v>
      </c>
      <c r="L12" s="285"/>
      <c r="M12" s="281"/>
      <c r="N12" s="285"/>
      <c r="O12" s="281"/>
      <c r="P12" s="285"/>
      <c r="Q12" s="281"/>
      <c r="R12" s="285"/>
      <c r="S12" s="281"/>
      <c r="U12" s="282"/>
    </row>
    <row r="13" spans="1:30" x14ac:dyDescent="0.2">
      <c r="A13" s="243" t="s">
        <v>140</v>
      </c>
      <c r="B13" s="251"/>
      <c r="C13" s="245">
        <v>291</v>
      </c>
      <c r="D13" s="251"/>
      <c r="E13" s="245">
        <v>282</v>
      </c>
      <c r="F13" s="251"/>
      <c r="G13" s="245">
        <v>232</v>
      </c>
      <c r="H13" s="251"/>
      <c r="I13" s="245">
        <v>224</v>
      </c>
      <c r="J13" s="251"/>
      <c r="K13" s="245">
        <v>236</v>
      </c>
      <c r="L13" s="283"/>
      <c r="M13" s="281"/>
      <c r="N13" s="283"/>
      <c r="O13" s="281"/>
      <c r="P13" s="283"/>
      <c r="Q13" s="281"/>
      <c r="R13" s="285"/>
      <c r="S13" s="281"/>
      <c r="T13" s="284"/>
      <c r="U13" s="285"/>
      <c r="V13" s="281"/>
      <c r="W13" s="285"/>
      <c r="X13" s="281"/>
      <c r="Y13" s="285"/>
      <c r="Z13" s="281"/>
      <c r="AA13" s="285"/>
      <c r="AB13" s="281"/>
      <c r="AC13" s="285"/>
      <c r="AD13" s="281"/>
    </row>
    <row r="14" spans="1:30" x14ac:dyDescent="0.2">
      <c r="A14" s="243" t="s">
        <v>150</v>
      </c>
      <c r="B14" s="244"/>
      <c r="C14" s="245">
        <v>273</v>
      </c>
      <c r="D14" s="244"/>
      <c r="E14" s="245">
        <v>270.39999999999998</v>
      </c>
      <c r="F14" s="244"/>
      <c r="G14" s="245">
        <v>266</v>
      </c>
      <c r="H14" s="244"/>
      <c r="I14" s="245">
        <v>266</v>
      </c>
      <c r="J14" s="244"/>
      <c r="K14" s="245">
        <v>266</v>
      </c>
      <c r="L14" s="285"/>
      <c r="M14" s="281"/>
      <c r="N14" s="285"/>
      <c r="O14" s="281"/>
      <c r="P14" s="285"/>
      <c r="Q14" s="281"/>
      <c r="R14" s="285"/>
      <c r="S14" s="281"/>
      <c r="U14" s="282"/>
    </row>
    <row r="15" spans="1:30" x14ac:dyDescent="0.2">
      <c r="A15" s="246" t="s">
        <v>143</v>
      </c>
      <c r="B15" s="251" t="s">
        <v>165</v>
      </c>
      <c r="C15" s="245">
        <v>156.69999999999999</v>
      </c>
      <c r="D15" s="251" t="s">
        <v>162</v>
      </c>
      <c r="E15" s="245">
        <v>237</v>
      </c>
      <c r="F15" s="251" t="s">
        <v>157</v>
      </c>
      <c r="G15" s="245">
        <v>392</v>
      </c>
      <c r="H15" s="251" t="s">
        <v>154</v>
      </c>
      <c r="I15" s="245">
        <v>887.8</v>
      </c>
      <c r="J15" s="251" t="s">
        <v>151</v>
      </c>
      <c r="K15" s="245">
        <v>756.9</v>
      </c>
      <c r="L15" s="283"/>
      <c r="M15" s="281"/>
      <c r="N15" s="283"/>
      <c r="O15" s="281"/>
      <c r="P15" s="283"/>
      <c r="Q15" s="281"/>
      <c r="R15" s="287"/>
      <c r="S15" s="281"/>
      <c r="U15" s="282"/>
    </row>
    <row r="16" spans="1:30" x14ac:dyDescent="0.2">
      <c r="A16" s="243" t="s">
        <v>130</v>
      </c>
      <c r="B16" s="244">
        <v>6.24</v>
      </c>
      <c r="C16" s="245">
        <v>102.7</v>
      </c>
      <c r="D16" s="244">
        <v>5.52</v>
      </c>
      <c r="E16" s="245">
        <v>90.7</v>
      </c>
      <c r="F16" s="306">
        <v>7.47</v>
      </c>
      <c r="G16" s="245">
        <v>123</v>
      </c>
      <c r="H16" s="306">
        <v>6.625</v>
      </c>
      <c r="I16" s="245">
        <v>109</v>
      </c>
      <c r="J16" s="244">
        <v>6.99</v>
      </c>
      <c r="K16" s="245">
        <v>115</v>
      </c>
      <c r="L16" s="285"/>
      <c r="M16" s="281"/>
      <c r="N16" s="285"/>
      <c r="O16" s="281"/>
      <c r="P16" s="285"/>
      <c r="Q16" s="281"/>
      <c r="R16" s="285"/>
      <c r="S16" s="281"/>
      <c r="T16" s="284"/>
      <c r="U16" s="285"/>
      <c r="V16" s="281"/>
      <c r="W16" s="285"/>
      <c r="X16" s="281"/>
      <c r="Y16" s="283"/>
      <c r="Z16" s="281"/>
      <c r="AA16" s="283"/>
      <c r="AB16" s="281"/>
      <c r="AC16" s="285"/>
      <c r="AD16" s="281"/>
    </row>
    <row r="17" spans="1:21" x14ac:dyDescent="0.2">
      <c r="A17" s="246" t="s">
        <v>148</v>
      </c>
      <c r="B17" s="244">
        <v>58.65</v>
      </c>
      <c r="C17" s="245">
        <v>15.7</v>
      </c>
      <c r="D17" s="244">
        <v>48.28</v>
      </c>
      <c r="E17" s="245">
        <v>12.9</v>
      </c>
      <c r="F17" s="244">
        <v>50.37</v>
      </c>
      <c r="G17" s="245">
        <v>13</v>
      </c>
      <c r="H17" s="244">
        <v>46.03</v>
      </c>
      <c r="I17" s="245">
        <v>12.3</v>
      </c>
      <c r="J17" s="244">
        <v>44.63</v>
      </c>
      <c r="K17" s="245">
        <v>11.9</v>
      </c>
      <c r="L17" s="285"/>
      <c r="M17" s="281"/>
      <c r="N17" s="285"/>
      <c r="O17" s="281"/>
      <c r="P17" s="285"/>
      <c r="Q17" s="281"/>
      <c r="R17" s="285"/>
      <c r="S17" s="281"/>
      <c r="U17" s="282"/>
    </row>
    <row r="18" spans="1:21" x14ac:dyDescent="0.2">
      <c r="A18" s="243" t="s">
        <v>134</v>
      </c>
      <c r="B18" s="253"/>
      <c r="C18" s="245">
        <v>0</v>
      </c>
      <c r="D18" s="253"/>
      <c r="E18" s="245">
        <v>0</v>
      </c>
      <c r="F18" s="253"/>
      <c r="G18" s="245">
        <f>64.2+34.1</f>
        <v>98.300000000000011</v>
      </c>
      <c r="H18" s="253"/>
      <c r="I18" s="245">
        <f>105.4+77</f>
        <v>182.4</v>
      </c>
      <c r="J18" s="253"/>
      <c r="K18" s="245">
        <f>126.2+67.6</f>
        <v>193.8</v>
      </c>
      <c r="L18" s="285"/>
      <c r="M18" s="281"/>
      <c r="N18" s="285"/>
      <c r="O18" s="281"/>
      <c r="P18" s="285"/>
      <c r="Q18" s="281"/>
      <c r="R18" s="285"/>
      <c r="S18" s="281"/>
      <c r="U18" s="282"/>
    </row>
    <row r="19" spans="1:21" x14ac:dyDescent="0.2">
      <c r="A19" s="254" t="s">
        <v>166</v>
      </c>
      <c r="B19" s="251"/>
      <c r="C19" s="245">
        <v>2534.8000000000002</v>
      </c>
      <c r="D19" s="251"/>
      <c r="E19" s="245">
        <v>2669.1</v>
      </c>
      <c r="F19" s="251"/>
      <c r="G19" s="245">
        <v>2627.2</v>
      </c>
      <c r="H19" s="251"/>
      <c r="I19" s="245">
        <v>3055.9</v>
      </c>
      <c r="J19" s="251"/>
      <c r="K19" s="245">
        <v>3181.9</v>
      </c>
      <c r="L19" s="283"/>
      <c r="M19" s="281"/>
      <c r="N19" s="283"/>
      <c r="O19" s="281"/>
      <c r="P19" s="283"/>
      <c r="Q19" s="281"/>
      <c r="R19" s="283"/>
      <c r="S19" s="281"/>
      <c r="U19" s="282"/>
    </row>
    <row r="20" spans="1:21" x14ac:dyDescent="0.2">
      <c r="A20" s="254" t="s">
        <v>167</v>
      </c>
      <c r="B20" s="251"/>
      <c r="C20" s="245">
        <v>119.8</v>
      </c>
      <c r="D20" s="251"/>
      <c r="E20" s="245"/>
      <c r="F20" s="251"/>
      <c r="G20" s="245"/>
      <c r="H20" s="251"/>
      <c r="I20" s="245"/>
      <c r="J20" s="251"/>
      <c r="K20" s="245"/>
      <c r="L20" s="283"/>
      <c r="M20" s="281"/>
      <c r="N20" s="283"/>
      <c r="O20" s="281"/>
      <c r="P20" s="283"/>
      <c r="Q20" s="281"/>
      <c r="R20" s="283"/>
      <c r="S20" s="281"/>
      <c r="U20" s="282"/>
    </row>
    <row r="21" spans="1:21" x14ac:dyDescent="0.2">
      <c r="A21" s="255" t="s">
        <v>142</v>
      </c>
      <c r="B21" s="256"/>
      <c r="C21" s="245">
        <v>-1759.6</v>
      </c>
      <c r="D21" s="256"/>
      <c r="E21" s="245">
        <v>-2371</v>
      </c>
      <c r="F21" s="256"/>
      <c r="G21" s="245">
        <v>-530</v>
      </c>
      <c r="H21" s="256"/>
      <c r="I21" s="245">
        <v>-320.3</v>
      </c>
      <c r="J21" s="256"/>
      <c r="K21" s="245">
        <v>-211.6</v>
      </c>
      <c r="L21" s="290"/>
      <c r="M21" s="281"/>
      <c r="N21" s="290"/>
      <c r="O21" s="281"/>
      <c r="P21" s="290"/>
      <c r="Q21" s="281"/>
      <c r="R21" s="290"/>
      <c r="S21" s="281"/>
    </row>
    <row r="22" spans="1:21" x14ac:dyDescent="0.2">
      <c r="A22" s="257" t="s">
        <v>135</v>
      </c>
      <c r="B22" s="258"/>
      <c r="C22" s="259">
        <f>SUM(C2:C21)</f>
        <v>17775.7</v>
      </c>
      <c r="D22" s="258"/>
      <c r="E22" s="259">
        <v>17195.599999999999</v>
      </c>
      <c r="F22" s="258"/>
      <c r="G22" s="259">
        <v>17828.400000000001</v>
      </c>
      <c r="H22" s="258"/>
      <c r="I22" s="259">
        <v>21280.2</v>
      </c>
      <c r="J22" s="258"/>
      <c r="K22" s="259">
        <v>22501</v>
      </c>
      <c r="L22" s="291"/>
      <c r="M22" s="292"/>
      <c r="N22" s="291"/>
      <c r="O22" s="292"/>
      <c r="P22" s="291"/>
      <c r="Q22" s="292"/>
      <c r="R22" s="291"/>
      <c r="S22" s="292"/>
    </row>
    <row r="23" spans="1:21" x14ac:dyDescent="0.2">
      <c r="A23" s="260" t="s">
        <v>136</v>
      </c>
      <c r="B23" s="261"/>
      <c r="C23" s="262">
        <f>C22*1000000/C26</f>
        <v>116.18104575163399</v>
      </c>
      <c r="D23" s="261"/>
      <c r="E23" s="262">
        <f>E22*1000000/E26</f>
        <v>112.38954248366014</v>
      </c>
      <c r="F23" s="261"/>
      <c r="G23" s="262">
        <v>116.53</v>
      </c>
      <c r="H23" s="261"/>
      <c r="I23" s="262">
        <v>136.1</v>
      </c>
      <c r="J23" s="261"/>
      <c r="K23" s="262">
        <v>143.91</v>
      </c>
      <c r="L23" s="293"/>
      <c r="M23" s="294"/>
      <c r="N23" s="293"/>
      <c r="O23" s="294"/>
      <c r="P23" s="293"/>
      <c r="Q23" s="294"/>
      <c r="R23" s="293"/>
      <c r="S23" s="294"/>
    </row>
    <row r="24" spans="1:21" x14ac:dyDescent="0.2">
      <c r="A24" s="260" t="s">
        <v>114</v>
      </c>
      <c r="B24" s="261"/>
      <c r="C24" s="263">
        <v>74.58</v>
      </c>
      <c r="D24" s="261"/>
      <c r="E24" s="263">
        <v>71.88</v>
      </c>
      <c r="F24" s="261"/>
      <c r="G24" s="263">
        <v>79.680000000000007</v>
      </c>
      <c r="H24" s="261"/>
      <c r="I24" s="263">
        <v>94.12</v>
      </c>
      <c r="J24" s="261"/>
      <c r="K24" s="263">
        <v>98.16</v>
      </c>
      <c r="L24" s="293"/>
      <c r="M24" s="295"/>
      <c r="N24" s="293"/>
      <c r="O24" s="295"/>
      <c r="P24" s="293"/>
      <c r="Q24" s="295"/>
      <c r="R24" s="293"/>
      <c r="S24" s="295"/>
    </row>
    <row r="25" spans="1:21" x14ac:dyDescent="0.2">
      <c r="A25" s="264"/>
      <c r="B25" s="265"/>
      <c r="C25" s="266"/>
      <c r="D25" s="265"/>
      <c r="E25" s="266"/>
      <c r="F25" s="265"/>
      <c r="G25" s="266"/>
      <c r="H25" s="265"/>
      <c r="I25" s="266"/>
      <c r="J25" s="265"/>
      <c r="K25" s="266"/>
      <c r="L25" s="296"/>
      <c r="M25" s="297"/>
      <c r="N25" s="296"/>
      <c r="O25" s="297"/>
      <c r="P25" s="296"/>
      <c r="Q25" s="297"/>
      <c r="R25" s="296"/>
      <c r="S25" s="297"/>
    </row>
    <row r="26" spans="1:21" x14ac:dyDescent="0.2">
      <c r="A26" s="267" t="s">
        <v>78</v>
      </c>
      <c r="B26" s="268"/>
      <c r="C26" s="269">
        <v>153000000</v>
      </c>
      <c r="D26" s="268"/>
      <c r="E26" s="269">
        <v>153000000</v>
      </c>
      <c r="F26" s="268"/>
      <c r="G26" s="269">
        <v>153000000</v>
      </c>
      <c r="H26" s="268"/>
      <c r="I26" s="269">
        <v>156355000</v>
      </c>
      <c r="J26" s="268"/>
      <c r="K26" s="269">
        <v>156355000</v>
      </c>
      <c r="L26" s="291"/>
      <c r="M26" s="298"/>
      <c r="N26" s="291"/>
      <c r="O26" s="298"/>
      <c r="P26" s="291"/>
      <c r="Q26" s="298"/>
      <c r="R26" s="291"/>
      <c r="S26" s="298"/>
    </row>
    <row r="28" spans="1:21" x14ac:dyDescent="0.2">
      <c r="B28" s="270"/>
      <c r="C28" s="271"/>
      <c r="D28" s="270"/>
      <c r="E28" s="271"/>
      <c r="F28" s="270"/>
      <c r="G28" s="271"/>
      <c r="H28" s="270"/>
      <c r="I28" s="271"/>
      <c r="J28" s="270"/>
      <c r="K28" s="271"/>
      <c r="L28" s="300"/>
      <c r="M28" s="301"/>
      <c r="N28" s="300"/>
      <c r="O28" s="301"/>
      <c r="P28" s="300"/>
      <c r="Q28" s="301"/>
      <c r="R28" s="300"/>
      <c r="S28" s="301"/>
    </row>
    <row r="29" spans="1:21" x14ac:dyDescent="0.2">
      <c r="B29" s="272"/>
      <c r="D29" s="272"/>
      <c r="F29" s="272"/>
      <c r="H29" s="272"/>
      <c r="J29" s="272"/>
      <c r="L29" s="303"/>
      <c r="N29" s="303"/>
      <c r="P29" s="303"/>
      <c r="R29" s="303"/>
    </row>
    <row r="30" spans="1:21" x14ac:dyDescent="0.2">
      <c r="B30" s="272"/>
      <c r="D30" s="272"/>
      <c r="F30" s="272"/>
      <c r="H30" s="272"/>
      <c r="J30" s="272"/>
      <c r="L30" s="303"/>
      <c r="N30" s="303"/>
      <c r="P30" s="303"/>
      <c r="R30" s="303"/>
    </row>
    <row r="31" spans="1:21" x14ac:dyDescent="0.2">
      <c r="B31" s="272"/>
      <c r="D31" s="272"/>
      <c r="F31" s="272"/>
      <c r="H31" s="272"/>
      <c r="J31" s="272"/>
      <c r="L31" s="303"/>
      <c r="N31" s="303"/>
      <c r="P31" s="303"/>
      <c r="R31" s="303"/>
    </row>
    <row r="32" spans="1:21" x14ac:dyDescent="0.2">
      <c r="B32" s="272"/>
      <c r="D32" s="272"/>
      <c r="F32" s="272"/>
      <c r="H32" s="272"/>
      <c r="J32" s="272"/>
      <c r="L32" s="303"/>
      <c r="N32" s="303"/>
      <c r="P32" s="303"/>
      <c r="R32" s="30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724B-AA18-4160-B77F-D5A899F5D99E}">
  <dimension ref="A1:K33"/>
  <sheetViews>
    <sheetView topLeftCell="A13" workbookViewId="0">
      <selection activeCell="A30" sqref="A30"/>
    </sheetView>
  </sheetViews>
  <sheetFormatPr defaultRowHeight="12.75" x14ac:dyDescent="0.2"/>
  <cols>
    <col min="1" max="1" width="35.7109375" style="299" bestFit="1" customWidth="1"/>
    <col min="2" max="2" width="13.42578125" style="304" customWidth="1"/>
    <col min="3" max="3" width="12.42578125" style="302" customWidth="1"/>
    <col min="4" max="4" width="13.42578125" style="304" customWidth="1"/>
    <col min="5" max="5" width="12.42578125" style="302" customWidth="1"/>
    <col min="6" max="6" width="13.42578125" style="304" customWidth="1"/>
    <col min="7" max="7" width="12.42578125" style="302" customWidth="1"/>
    <col min="8" max="8" width="13.42578125" style="304" customWidth="1"/>
    <col min="9" max="9" width="12.42578125" style="302" customWidth="1"/>
    <col min="10" max="10" width="13.42578125" style="304" customWidth="1"/>
    <col min="11" max="11" width="12.42578125" style="302" customWidth="1"/>
  </cols>
  <sheetData>
    <row r="1" spans="1:11" x14ac:dyDescent="0.2">
      <c r="A1" s="95" t="s">
        <v>0</v>
      </c>
      <c r="B1" s="3"/>
      <c r="C1" s="4">
        <v>45291</v>
      </c>
      <c r="D1" s="3"/>
      <c r="E1" s="4">
        <v>45199</v>
      </c>
      <c r="F1" s="3"/>
      <c r="G1" s="4">
        <v>45107</v>
      </c>
      <c r="H1" s="3"/>
      <c r="I1" s="4">
        <v>45016</v>
      </c>
      <c r="J1" s="3"/>
      <c r="K1" s="4">
        <v>44926</v>
      </c>
    </row>
    <row r="2" spans="1:11" ht="15" customHeight="1" x14ac:dyDescent="0.2">
      <c r="A2" s="246" t="s">
        <v>172</v>
      </c>
      <c r="B2" s="248" t="s">
        <v>178</v>
      </c>
      <c r="C2" s="245">
        <v>2834.9666047516198</v>
      </c>
      <c r="D2" s="248" t="s">
        <v>170</v>
      </c>
      <c r="E2" s="245">
        <v>2882.7258123901101</v>
      </c>
      <c r="F2" s="248" t="s">
        <v>169</v>
      </c>
      <c r="G2" s="245">
        <v>3126.4565427053499</v>
      </c>
      <c r="H2" s="248" t="s">
        <v>174</v>
      </c>
      <c r="I2" s="245">
        <v>2914.3683146067401</v>
      </c>
      <c r="J2" s="248" t="s">
        <v>163</v>
      </c>
      <c r="K2" s="245">
        <v>3127</v>
      </c>
    </row>
    <row r="3" spans="1:11" ht="15" customHeight="1" x14ac:dyDescent="0.2">
      <c r="A3" s="246" t="s">
        <v>82</v>
      </c>
      <c r="B3" s="248">
        <v>159.75</v>
      </c>
      <c r="C3" s="245">
        <v>2748.5176004999998</v>
      </c>
      <c r="D3" s="248">
        <v>157.85</v>
      </c>
      <c r="E3" s="245">
        <v>2715.8278762999998</v>
      </c>
      <c r="F3" s="304">
        <v>202.4</v>
      </c>
      <c r="G3" s="245">
        <v>3482.3158831999999</v>
      </c>
      <c r="H3" s="248">
        <v>208.7</v>
      </c>
      <c r="I3" s="245">
        <v>3591</v>
      </c>
      <c r="J3" s="248">
        <v>183.75</v>
      </c>
      <c r="K3" s="245">
        <v>3266</v>
      </c>
    </row>
    <row r="4" spans="1:11" ht="15" customHeight="1" x14ac:dyDescent="0.2">
      <c r="A4" s="299" t="s">
        <v>128</v>
      </c>
      <c r="B4" s="248">
        <v>184.16</v>
      </c>
      <c r="C4" s="245">
        <v>2525.66673984</v>
      </c>
      <c r="D4" s="248">
        <v>166.62</v>
      </c>
      <c r="E4" s="245">
        <v>2285.1139888799999</v>
      </c>
      <c r="F4" s="248">
        <v>177.78</v>
      </c>
      <c r="G4" s="245">
        <v>2438.1680767199996</v>
      </c>
      <c r="H4" s="248">
        <v>162.78</v>
      </c>
      <c r="I4" s="245">
        <v>2232.4502167199998</v>
      </c>
      <c r="J4" s="248">
        <v>127.46</v>
      </c>
      <c r="K4" s="245">
        <v>1748.1</v>
      </c>
    </row>
    <row r="5" spans="1:11" ht="15" customHeight="1" x14ac:dyDescent="0.2">
      <c r="A5" s="246" t="s">
        <v>84</v>
      </c>
      <c r="B5" s="248">
        <v>28.48</v>
      </c>
      <c r="C5" s="245">
        <v>1321.7249593600002</v>
      </c>
      <c r="D5" s="248">
        <v>28</v>
      </c>
      <c r="E5" s="245">
        <v>1299.4486959999999</v>
      </c>
      <c r="F5" s="248">
        <v>35.700000000000003</v>
      </c>
      <c r="G5" s="245">
        <v>1656.7970874</v>
      </c>
      <c r="H5" s="248">
        <v>39.799999999999997</v>
      </c>
      <c r="I5" s="245">
        <v>1847.0735035999999</v>
      </c>
      <c r="J5" s="248">
        <v>36.340000000000003</v>
      </c>
      <c r="K5" s="245">
        <v>1686.5</v>
      </c>
    </row>
    <row r="6" spans="1:11" ht="15" customHeight="1" x14ac:dyDescent="0.2">
      <c r="A6" s="243" t="s">
        <v>158</v>
      </c>
      <c r="B6" s="248"/>
      <c r="C6" s="245">
        <v>1194.5972403707799</v>
      </c>
      <c r="D6" s="248"/>
      <c r="E6" s="245">
        <v>1149.4881499999999</v>
      </c>
      <c r="F6" s="248"/>
      <c r="G6" s="245">
        <v>995.56399999999996</v>
      </c>
      <c r="H6" s="248"/>
      <c r="I6" s="245">
        <v>995.6</v>
      </c>
      <c r="J6" s="248"/>
      <c r="K6" s="245">
        <v>995.6</v>
      </c>
    </row>
    <row r="7" spans="1:11" ht="15" customHeight="1" x14ac:dyDescent="0.2">
      <c r="A7" s="243" t="s">
        <v>129</v>
      </c>
      <c r="B7" s="248">
        <v>24.9</v>
      </c>
      <c r="C7" s="245">
        <v>976.92809399999999</v>
      </c>
      <c r="D7" s="248">
        <v>22.45</v>
      </c>
      <c r="E7" s="245">
        <v>880.80464700000005</v>
      </c>
      <c r="F7" s="248">
        <v>25.59</v>
      </c>
      <c r="G7" s="245">
        <v>1003.9995954</v>
      </c>
      <c r="H7" s="248">
        <v>31.21</v>
      </c>
      <c r="I7" s="245">
        <v>1224.4950126000001</v>
      </c>
      <c r="J7" s="248">
        <v>34.32</v>
      </c>
      <c r="K7" s="245">
        <v>1346.5</v>
      </c>
    </row>
    <row r="8" spans="1:11" ht="15" customHeight="1" x14ac:dyDescent="0.2">
      <c r="A8" s="243" t="s">
        <v>159</v>
      </c>
      <c r="B8" s="248"/>
      <c r="C8" s="245">
        <v>828.79010369016498</v>
      </c>
      <c r="D8" s="248"/>
      <c r="E8" s="245">
        <v>812.81859093000003</v>
      </c>
      <c r="F8" s="248"/>
      <c r="G8" s="245">
        <v>707</v>
      </c>
      <c r="H8" s="248"/>
      <c r="I8" s="245">
        <v>711</v>
      </c>
      <c r="J8" s="248"/>
      <c r="K8" s="245">
        <v>711</v>
      </c>
    </row>
    <row r="9" spans="1:11" ht="15" customHeight="1" x14ac:dyDescent="0.2">
      <c r="A9" s="246" t="s">
        <v>173</v>
      </c>
      <c r="B9" s="251" t="s">
        <v>179</v>
      </c>
      <c r="C9" s="245">
        <v>806.80529854731606</v>
      </c>
      <c r="D9" s="251" t="s">
        <v>171</v>
      </c>
      <c r="E9" s="245">
        <v>684</v>
      </c>
      <c r="F9" s="249"/>
      <c r="G9" s="250">
        <v>0</v>
      </c>
      <c r="H9" s="249"/>
      <c r="I9" s="250">
        <v>0</v>
      </c>
      <c r="J9" s="249"/>
      <c r="K9" s="250">
        <v>0</v>
      </c>
    </row>
    <row r="10" spans="1:11" ht="15" customHeight="1" x14ac:dyDescent="0.2">
      <c r="A10" s="243" t="s">
        <v>144</v>
      </c>
      <c r="B10" s="244"/>
      <c r="C10" s="245">
        <v>460.47094214211199</v>
      </c>
      <c r="D10" s="244"/>
      <c r="E10" s="245">
        <v>450.69295049999999</v>
      </c>
      <c r="F10" s="244"/>
      <c r="G10" s="245">
        <v>495.994664</v>
      </c>
      <c r="H10" s="244"/>
      <c r="I10" s="245">
        <v>480.5</v>
      </c>
      <c r="J10" s="244"/>
      <c r="K10" s="245">
        <v>439.1</v>
      </c>
    </row>
    <row r="11" spans="1:11" ht="15" customHeight="1" x14ac:dyDescent="0.2">
      <c r="A11" s="243" t="s">
        <v>140</v>
      </c>
      <c r="B11" s="251"/>
      <c r="C11" s="245">
        <v>295.52108369491702</v>
      </c>
      <c r="D11" s="251"/>
      <c r="E11" s="245">
        <v>295.70312580000001</v>
      </c>
      <c r="F11" s="251"/>
      <c r="G11" s="245">
        <v>290</v>
      </c>
      <c r="H11" s="251"/>
      <c r="I11" s="245">
        <v>296</v>
      </c>
      <c r="J11" s="251"/>
      <c r="K11" s="245">
        <v>291</v>
      </c>
    </row>
    <row r="12" spans="1:11" ht="15" customHeight="1" x14ac:dyDescent="0.2">
      <c r="A12" s="243" t="s">
        <v>150</v>
      </c>
      <c r="B12" s="244"/>
      <c r="C12" s="245">
        <v>287.21818488617498</v>
      </c>
      <c r="D12" s="244"/>
      <c r="E12" s="245">
        <v>286.62529599999999</v>
      </c>
      <c r="F12" s="244"/>
      <c r="G12" s="245">
        <v>283</v>
      </c>
      <c r="H12" s="244"/>
      <c r="I12" s="245">
        <v>279</v>
      </c>
      <c r="J12" s="244"/>
      <c r="K12" s="245">
        <v>273</v>
      </c>
    </row>
    <row r="13" spans="1:11" ht="15" customHeight="1" x14ac:dyDescent="0.2">
      <c r="A13" s="243" t="s">
        <v>130</v>
      </c>
      <c r="B13" s="248">
        <v>7.61</v>
      </c>
      <c r="C13" s="245">
        <v>125.136115065</v>
      </c>
      <c r="D13" s="248">
        <v>6.95</v>
      </c>
      <c r="E13" s="245">
        <v>114.35844835</v>
      </c>
      <c r="F13" s="244">
        <v>6.88</v>
      </c>
      <c r="G13" s="245">
        <v>113.20663664</v>
      </c>
      <c r="H13" s="244">
        <v>6.87</v>
      </c>
      <c r="I13" s="245">
        <v>113.04209211</v>
      </c>
      <c r="J13" s="244">
        <v>6.24</v>
      </c>
      <c r="K13" s="245">
        <v>102.7</v>
      </c>
    </row>
    <row r="14" spans="1:11" ht="15" customHeight="1" x14ac:dyDescent="0.2">
      <c r="A14" s="246" t="s">
        <v>148</v>
      </c>
      <c r="B14" s="248">
        <v>61.6</v>
      </c>
      <c r="C14" s="245">
        <v>16.452189600000001</v>
      </c>
      <c r="D14" s="248">
        <v>62.31</v>
      </c>
      <c r="E14" s="245">
        <v>16.641817110000002</v>
      </c>
      <c r="F14" s="244">
        <v>52.55</v>
      </c>
      <c r="G14" s="245">
        <v>14.035106549999998</v>
      </c>
      <c r="H14" s="244">
        <v>54.36</v>
      </c>
      <c r="I14" s="245">
        <v>14.518523160000001</v>
      </c>
      <c r="J14" s="244">
        <v>58.65</v>
      </c>
      <c r="K14" s="245">
        <v>15.7</v>
      </c>
    </row>
    <row r="15" spans="1:11" ht="15" customHeight="1" x14ac:dyDescent="0.2">
      <c r="A15" s="243" t="s">
        <v>132</v>
      </c>
      <c r="B15" s="248">
        <v>37.69</v>
      </c>
      <c r="C15" s="250">
        <v>4.1647449999999999</v>
      </c>
      <c r="D15" s="248">
        <v>34.96</v>
      </c>
      <c r="E15" s="245">
        <v>397.16307999999998</v>
      </c>
      <c r="F15" s="244">
        <v>38.31</v>
      </c>
      <c r="G15" s="245">
        <v>435.220755</v>
      </c>
      <c r="H15" s="244">
        <v>41.95</v>
      </c>
      <c r="I15" s="245">
        <v>453.9604533280388</v>
      </c>
      <c r="J15" s="244">
        <v>38.200000000000003</v>
      </c>
      <c r="K15" s="245">
        <v>434</v>
      </c>
    </row>
    <row r="16" spans="1:11" ht="15" customHeight="1" x14ac:dyDescent="0.2">
      <c r="A16" s="246" t="s">
        <v>141</v>
      </c>
      <c r="B16" s="248"/>
      <c r="C16" s="245">
        <v>0</v>
      </c>
      <c r="D16" s="248"/>
      <c r="E16" s="245">
        <v>0</v>
      </c>
      <c r="F16" s="253"/>
      <c r="G16" s="245">
        <v>1205</v>
      </c>
      <c r="H16" s="251"/>
      <c r="I16" s="245">
        <v>1546.3526970299999</v>
      </c>
      <c r="J16" s="251"/>
      <c r="K16" s="245">
        <v>1720.8</v>
      </c>
    </row>
    <row r="17" spans="1:11" ht="15" customHeight="1" x14ac:dyDescent="0.2">
      <c r="A17" s="246" t="s">
        <v>147</v>
      </c>
      <c r="B17" s="248"/>
      <c r="C17" s="245">
        <v>0</v>
      </c>
      <c r="D17" s="248"/>
      <c r="E17" s="245">
        <v>0</v>
      </c>
      <c r="F17" s="253"/>
      <c r="G17" s="250">
        <v>0</v>
      </c>
      <c r="H17" s="249" t="s">
        <v>168</v>
      </c>
      <c r="I17" s="250">
        <v>566.6</v>
      </c>
      <c r="J17" s="249" t="s">
        <v>164</v>
      </c>
      <c r="K17" s="250">
        <v>567</v>
      </c>
    </row>
    <row r="18" spans="1:11" ht="15" customHeight="1" x14ac:dyDescent="0.2">
      <c r="A18" s="246" t="s">
        <v>143</v>
      </c>
      <c r="B18" s="248"/>
      <c r="C18" s="245">
        <v>0</v>
      </c>
      <c r="D18" s="248"/>
      <c r="E18" s="245">
        <v>0</v>
      </c>
      <c r="F18" s="253"/>
      <c r="G18" s="245">
        <v>0</v>
      </c>
      <c r="H18" s="244"/>
      <c r="I18" s="245">
        <v>0</v>
      </c>
      <c r="J18" s="248" t="s">
        <v>165</v>
      </c>
      <c r="K18" s="245">
        <v>157</v>
      </c>
    </row>
    <row r="19" spans="1:11" ht="15" customHeight="1" x14ac:dyDescent="0.2">
      <c r="A19" s="243" t="s">
        <v>134</v>
      </c>
      <c r="B19" s="253"/>
      <c r="C19" s="245">
        <v>0</v>
      </c>
      <c r="D19" s="253"/>
      <c r="E19" s="245">
        <v>0</v>
      </c>
      <c r="F19" s="248"/>
      <c r="G19" s="245">
        <v>0</v>
      </c>
      <c r="H19" s="248"/>
      <c r="I19" s="245">
        <v>0</v>
      </c>
      <c r="J19" s="248"/>
      <c r="K19" s="245">
        <v>0</v>
      </c>
    </row>
    <row r="20" spans="1:11" ht="15" customHeight="1" x14ac:dyDescent="0.2">
      <c r="A20" s="254" t="s">
        <v>166</v>
      </c>
      <c r="B20" s="251"/>
      <c r="C20" s="245">
        <v>2950.79134574097</v>
      </c>
      <c r="D20" s="251"/>
      <c r="E20" s="245">
        <v>2809.8264304617201</v>
      </c>
      <c r="F20" s="251"/>
      <c r="G20" s="245">
        <v>2715.5234769583044</v>
      </c>
      <c r="H20" s="251"/>
      <c r="I20" s="245">
        <v>2649.1</v>
      </c>
      <c r="J20" s="251"/>
      <c r="K20" s="245">
        <v>2534.8000000000002</v>
      </c>
    </row>
    <row r="21" spans="1:11" ht="15" customHeight="1" x14ac:dyDescent="0.2">
      <c r="A21" s="254" t="s">
        <v>167</v>
      </c>
      <c r="B21" s="251"/>
      <c r="C21" s="245">
        <v>109.80648376000001</v>
      </c>
      <c r="D21" s="251"/>
      <c r="E21" s="245">
        <v>129.69999999999999</v>
      </c>
      <c r="F21" s="251"/>
      <c r="G21" s="245">
        <v>125.4936704</v>
      </c>
      <c r="H21" s="251"/>
      <c r="I21" s="245">
        <v>119.7</v>
      </c>
      <c r="J21" s="251"/>
      <c r="K21" s="245">
        <v>119.8</v>
      </c>
    </row>
    <row r="22" spans="1:11" ht="27.75" x14ac:dyDescent="0.2">
      <c r="A22" s="255" t="s">
        <v>177</v>
      </c>
      <c r="B22" s="256"/>
      <c r="C22" s="245">
        <v>-816.07973544147308</v>
      </c>
      <c r="D22" s="256"/>
      <c r="E22" s="245">
        <v>-1193.0999999999999</v>
      </c>
      <c r="F22" s="256"/>
      <c r="G22" s="245">
        <v>-1586.1125527710496</v>
      </c>
      <c r="H22" s="256"/>
      <c r="I22" s="245">
        <v>-1438.9196621278902</v>
      </c>
      <c r="J22" s="256"/>
      <c r="K22" s="245">
        <v>-1759.6</v>
      </c>
    </row>
    <row r="23" spans="1:11" x14ac:dyDescent="0.2">
      <c r="A23" s="257" t="s">
        <v>135</v>
      </c>
      <c r="B23" s="258"/>
      <c r="C23" s="259">
        <f>SUM(C2:C22)</f>
        <v>16671.477995507586</v>
      </c>
      <c r="D23" s="258"/>
      <c r="E23" s="259">
        <f>SUM(E2:E22)</f>
        <v>16017.838909721833</v>
      </c>
      <c r="F23" s="258"/>
      <c r="G23" s="259">
        <f>SUM(G2:G22)</f>
        <v>17501.662942202605</v>
      </c>
      <c r="H23" s="258"/>
      <c r="I23" s="259">
        <f>SUM(I2:I22)</f>
        <v>18595.841151026885</v>
      </c>
      <c r="J23" s="258"/>
      <c r="K23" s="259">
        <f>SUM(K2:K22)</f>
        <v>17776</v>
      </c>
    </row>
    <row r="24" spans="1:11" x14ac:dyDescent="0.2">
      <c r="A24" s="260" t="s">
        <v>136</v>
      </c>
      <c r="B24" s="261"/>
      <c r="C24" s="262">
        <f>(C23*1000000/C27)-0</f>
        <v>113.64334011934278</v>
      </c>
      <c r="D24" s="261"/>
      <c r="E24" s="262">
        <f>E23*1000000/E27</f>
        <v>109.18772262932403</v>
      </c>
      <c r="F24" s="261"/>
      <c r="G24" s="262">
        <f>G23*1000000/G27</f>
        <v>119.30240587731838</v>
      </c>
      <c r="H24" s="261"/>
      <c r="I24" s="262">
        <f>I23*1000000/I27</f>
        <v>121.54144543154827</v>
      </c>
      <c r="J24" s="261"/>
      <c r="K24" s="262">
        <f>K23*1000000/K27</f>
        <v>116.18300653594771</v>
      </c>
    </row>
    <row r="25" spans="1:11" x14ac:dyDescent="0.2">
      <c r="A25" s="260" t="s">
        <v>114</v>
      </c>
      <c r="B25" s="261"/>
      <c r="C25" s="263">
        <v>71.22</v>
      </c>
      <c r="D25" s="261"/>
      <c r="E25" s="263">
        <v>70.56</v>
      </c>
      <c r="F25" s="261"/>
      <c r="G25" s="263">
        <v>72.16</v>
      </c>
      <c r="H25" s="261"/>
      <c r="I25" s="263">
        <v>78.5</v>
      </c>
      <c r="J25" s="261"/>
      <c r="K25" s="263">
        <v>74.58</v>
      </c>
    </row>
    <row r="26" spans="1:11" x14ac:dyDescent="0.2">
      <c r="A26" s="264"/>
      <c r="B26" s="265"/>
      <c r="C26" s="266"/>
      <c r="D26" s="265"/>
      <c r="E26" s="266"/>
      <c r="F26" s="265"/>
      <c r="G26" s="266"/>
      <c r="H26" s="265"/>
      <c r="I26" s="266"/>
      <c r="J26" s="265"/>
      <c r="K26" s="266"/>
    </row>
    <row r="27" spans="1:11" x14ac:dyDescent="0.2">
      <c r="A27" s="267" t="s">
        <v>78</v>
      </c>
      <c r="B27" s="268"/>
      <c r="C27" s="269">
        <v>146700000</v>
      </c>
      <c r="D27" s="268"/>
      <c r="E27" s="269">
        <v>146700000</v>
      </c>
      <c r="F27" s="268"/>
      <c r="G27" s="269">
        <v>146700000</v>
      </c>
      <c r="H27" s="268"/>
      <c r="I27" s="269">
        <v>153000000</v>
      </c>
      <c r="J27" s="268"/>
      <c r="K27" s="269">
        <v>153000000</v>
      </c>
    </row>
    <row r="29" spans="1:11" ht="15" x14ac:dyDescent="0.2">
      <c r="A29" s="307" t="s">
        <v>175</v>
      </c>
      <c r="B29" s="270"/>
      <c r="C29" s="271"/>
      <c r="D29" s="270"/>
      <c r="E29" s="271"/>
      <c r="F29" s="270"/>
      <c r="G29" s="271"/>
      <c r="H29" s="270"/>
      <c r="I29" s="271"/>
      <c r="J29" s="270"/>
      <c r="K29" s="271"/>
    </row>
    <row r="30" spans="1:11" ht="15" x14ac:dyDescent="0.2">
      <c r="A30" s="299" t="s">
        <v>180</v>
      </c>
      <c r="B30" s="272"/>
      <c r="D30" s="299" t="s">
        <v>176</v>
      </c>
      <c r="F30" s="272"/>
      <c r="H30" s="272"/>
      <c r="J30" s="272"/>
    </row>
    <row r="31" spans="1:11" ht="15" x14ac:dyDescent="0.2">
      <c r="A31" s="307" t="s">
        <v>181</v>
      </c>
      <c r="B31" s="241"/>
      <c r="D31" s="272"/>
      <c r="F31" s="272"/>
      <c r="H31" s="272"/>
      <c r="J31" s="272"/>
    </row>
    <row r="32" spans="1:11" x14ac:dyDescent="0.2">
      <c r="B32" s="272"/>
      <c r="D32" s="272"/>
      <c r="F32" s="272"/>
      <c r="H32" s="272"/>
      <c r="J32" s="272"/>
    </row>
    <row r="33" spans="2:10" x14ac:dyDescent="0.2">
      <c r="B33" s="272"/>
      <c r="D33" s="272"/>
      <c r="F33" s="272"/>
      <c r="H33" s="272"/>
      <c r="J33" s="272"/>
    </row>
  </sheetData>
  <pageMargins left="0.7" right="0.7" top="0.75" bottom="0.75" header="0.3" footer="0.3"/>
  <ignoredErrors>
    <ignoredError sqref="I23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5C4A-AE05-4DFD-8D03-F078D3981F39}">
  <dimension ref="A1:K30"/>
  <sheetViews>
    <sheetView tabSelected="1" workbookViewId="0">
      <selection activeCell="C10" sqref="C10:C12"/>
    </sheetView>
  </sheetViews>
  <sheetFormatPr defaultRowHeight="12.75" x14ac:dyDescent="0.2"/>
  <cols>
    <col min="1" max="1" width="47.140625" style="299" customWidth="1"/>
    <col min="2" max="2" width="13.42578125" style="304" customWidth="1"/>
    <col min="3" max="3" width="12.42578125" style="302" customWidth="1"/>
    <col min="4" max="4" width="13.42578125" style="304" customWidth="1"/>
    <col min="5" max="5" width="12.42578125" style="302" customWidth="1"/>
    <col min="6" max="6" width="13.42578125" style="304" customWidth="1"/>
    <col min="7" max="7" width="12.42578125" style="302" customWidth="1"/>
    <col min="8" max="8" width="13.42578125" style="304" customWidth="1"/>
    <col min="9" max="9" width="12.42578125" style="302" customWidth="1"/>
    <col min="10" max="10" width="13.42578125" style="304" customWidth="1"/>
    <col min="11" max="11" width="12.42578125" style="302" customWidth="1"/>
  </cols>
  <sheetData>
    <row r="1" spans="1:11" x14ac:dyDescent="0.2">
      <c r="A1" s="95" t="s">
        <v>0</v>
      </c>
      <c r="B1" s="3"/>
      <c r="C1" s="4">
        <v>45657</v>
      </c>
      <c r="D1" s="3"/>
      <c r="E1" s="4">
        <v>45565</v>
      </c>
      <c r="F1" s="3"/>
      <c r="G1" s="4">
        <v>45473</v>
      </c>
      <c r="H1" s="3"/>
      <c r="I1" s="4">
        <v>45382</v>
      </c>
      <c r="J1" s="3"/>
      <c r="K1" s="4">
        <v>45291</v>
      </c>
    </row>
    <row r="2" spans="1:11" x14ac:dyDescent="0.2">
      <c r="A2" s="246" t="s">
        <v>93</v>
      </c>
      <c r="B2" s="248" t="s">
        <v>193</v>
      </c>
      <c r="C2" s="308">
        <v>3500.9418906927322</v>
      </c>
      <c r="D2" s="248" t="s">
        <v>191</v>
      </c>
      <c r="E2" s="308">
        <v>3623.8347752516156</v>
      </c>
      <c r="F2" s="248" t="s">
        <v>189</v>
      </c>
      <c r="G2" s="245">
        <v>3010.7995017645799</v>
      </c>
      <c r="H2" s="248" t="s">
        <v>186</v>
      </c>
      <c r="I2" s="245">
        <v>3242.4457300839599</v>
      </c>
      <c r="J2" s="248" t="s">
        <v>178</v>
      </c>
      <c r="K2" s="245">
        <v>2834.9666047516198</v>
      </c>
    </row>
    <row r="3" spans="1:11" x14ac:dyDescent="0.2">
      <c r="A3" s="246" t="s">
        <v>82</v>
      </c>
      <c r="B3" s="248">
        <v>109</v>
      </c>
      <c r="C3" s="308">
        <v>1878.8229719999999</v>
      </c>
      <c r="D3" s="248">
        <v>135.6</v>
      </c>
      <c r="E3" s="308">
        <v>2337.3247247999998</v>
      </c>
      <c r="F3" s="248">
        <v>126.7</v>
      </c>
      <c r="G3" s="245">
        <v>2183.9162435999997</v>
      </c>
      <c r="H3" s="248">
        <v>149.94999999999999</v>
      </c>
      <c r="I3" s="245">
        <v>2579.9074440999998</v>
      </c>
      <c r="J3" s="248">
        <v>159.75</v>
      </c>
      <c r="K3" s="245">
        <v>2748.5176004999998</v>
      </c>
    </row>
    <row r="4" spans="1:11" x14ac:dyDescent="0.2">
      <c r="A4" s="299" t="s">
        <v>128</v>
      </c>
      <c r="B4" s="248">
        <v>236.8</v>
      </c>
      <c r="C4" s="308">
        <v>1495.5551551999999</v>
      </c>
      <c r="D4" s="248">
        <v>237.9</v>
      </c>
      <c r="E4" s="308">
        <v>2177.9918667000002</v>
      </c>
      <c r="F4" s="248">
        <v>223</v>
      </c>
      <c r="G4" s="245">
        <v>2041.581279</v>
      </c>
      <c r="H4" s="248">
        <v>207</v>
      </c>
      <c r="I4" s="245">
        <v>2576.0574539999998</v>
      </c>
      <c r="J4" s="248">
        <v>184.16</v>
      </c>
      <c r="K4" s="245">
        <v>2525.66673984</v>
      </c>
    </row>
    <row r="5" spans="1:11" x14ac:dyDescent="0.2">
      <c r="A5" s="243" t="s">
        <v>158</v>
      </c>
      <c r="B5" s="248"/>
      <c r="C5" s="308">
        <v>1476.5132940942142</v>
      </c>
      <c r="D5" s="248"/>
      <c r="E5" s="308">
        <v>1386.2063397300001</v>
      </c>
      <c r="F5" s="248"/>
      <c r="G5" s="245">
        <v>1297.5861510899999</v>
      </c>
      <c r="H5" s="248"/>
      <c r="I5" s="245">
        <v>1216.19297465</v>
      </c>
      <c r="J5" s="248"/>
      <c r="K5" s="245">
        <v>1194.5972403707799</v>
      </c>
    </row>
    <row r="6" spans="1:11" x14ac:dyDescent="0.2">
      <c r="A6" s="246" t="s">
        <v>84</v>
      </c>
      <c r="B6" s="248">
        <v>28.2</v>
      </c>
      <c r="C6" s="308">
        <v>1310.7326724</v>
      </c>
      <c r="D6" s="248">
        <v>29.78</v>
      </c>
      <c r="E6" s="308">
        <v>1384.1708859600001</v>
      </c>
      <c r="F6" s="248">
        <v>33.58</v>
      </c>
      <c r="G6" s="245">
        <v>1560.79443756</v>
      </c>
      <c r="H6" s="248">
        <v>31.58</v>
      </c>
      <c r="I6" s="245">
        <v>1465.5924935599999</v>
      </c>
      <c r="J6" s="248">
        <v>28.48</v>
      </c>
      <c r="K6" s="245">
        <v>1321.7249593600002</v>
      </c>
    </row>
    <row r="7" spans="1:11" x14ac:dyDescent="0.2">
      <c r="A7" s="243" t="s">
        <v>159</v>
      </c>
      <c r="B7" s="248"/>
      <c r="C7" s="16">
        <v>969.09043947999999</v>
      </c>
      <c r="D7" s="248"/>
      <c r="E7" s="308">
        <v>882.65223413000001</v>
      </c>
      <c r="F7" s="248"/>
      <c r="G7" s="245">
        <v>870.86124039000003</v>
      </c>
      <c r="H7" s="248"/>
      <c r="I7" s="245">
        <v>845.21228545999998</v>
      </c>
      <c r="J7" s="248"/>
      <c r="K7" s="245">
        <v>828.79010369016498</v>
      </c>
    </row>
    <row r="8" spans="1:11" x14ac:dyDescent="0.2">
      <c r="A8" s="243" t="s">
        <v>129</v>
      </c>
      <c r="B8" s="248">
        <v>9.9550000000000001</v>
      </c>
      <c r="C8" s="308">
        <v>390.5750673</v>
      </c>
      <c r="D8" s="248">
        <v>11.66</v>
      </c>
      <c r="E8" s="308">
        <v>457.46913960000001</v>
      </c>
      <c r="F8" s="248">
        <v>14.03</v>
      </c>
      <c r="G8" s="245">
        <v>550.45386180000003</v>
      </c>
      <c r="H8" s="248">
        <v>20</v>
      </c>
      <c r="I8" s="245">
        <v>784.48502970000004</v>
      </c>
      <c r="J8" s="248">
        <v>24.9</v>
      </c>
      <c r="K8" s="245">
        <v>976.92809399999999</v>
      </c>
    </row>
    <row r="9" spans="1:11" ht="15" x14ac:dyDescent="0.2">
      <c r="A9" s="246" t="s">
        <v>185</v>
      </c>
      <c r="B9" s="249" t="s">
        <v>194</v>
      </c>
      <c r="C9" s="309">
        <v>370.7563904405086</v>
      </c>
      <c r="D9" s="249" t="s">
        <v>192</v>
      </c>
      <c r="E9" s="309">
        <v>408.71212166472952</v>
      </c>
      <c r="F9" s="249" t="s">
        <v>190</v>
      </c>
      <c r="G9" s="250">
        <v>530.62806979846994</v>
      </c>
      <c r="H9" s="249" t="s">
        <v>187</v>
      </c>
      <c r="I9" s="250">
        <v>551.22149614040029</v>
      </c>
      <c r="J9" s="251" t="s">
        <v>179</v>
      </c>
      <c r="K9" s="245">
        <v>806.80529854731606</v>
      </c>
    </row>
    <row r="10" spans="1:11" x14ac:dyDescent="0.2">
      <c r="A10" s="243" t="s">
        <v>150</v>
      </c>
      <c r="B10" s="244"/>
      <c r="C10" s="308">
        <v>301.95500055486343</v>
      </c>
      <c r="D10" s="244"/>
      <c r="E10" s="308">
        <v>296.83347687000003</v>
      </c>
      <c r="F10" s="244"/>
      <c r="G10" s="245">
        <v>293.63140730000003</v>
      </c>
      <c r="H10" s="244"/>
      <c r="I10" s="245">
        <v>292.14256138000002</v>
      </c>
      <c r="J10" s="244"/>
      <c r="K10" s="245">
        <v>287.21818488617498</v>
      </c>
    </row>
    <row r="11" spans="1:11" x14ac:dyDescent="0.2">
      <c r="A11" s="243" t="s">
        <v>140</v>
      </c>
      <c r="B11" s="251"/>
      <c r="C11" s="308">
        <v>296.002703</v>
      </c>
      <c r="D11" s="251"/>
      <c r="E11" s="308">
        <v>295.74359922000002</v>
      </c>
      <c r="F11" s="251"/>
      <c r="G11" s="245">
        <v>295.55323676999996</v>
      </c>
      <c r="H11" s="251"/>
      <c r="I11" s="245">
        <v>295.72772946999999</v>
      </c>
      <c r="J11" s="251"/>
      <c r="K11" s="245">
        <v>295.52108369491702</v>
      </c>
    </row>
    <row r="12" spans="1:11" x14ac:dyDescent="0.2">
      <c r="A12" s="243" t="s">
        <v>144</v>
      </c>
      <c r="B12" s="244"/>
      <c r="C12" s="308">
        <v>261.15110729999998</v>
      </c>
      <c r="D12" s="244"/>
      <c r="E12" s="308">
        <v>401.66713451999999</v>
      </c>
      <c r="F12" s="244"/>
      <c r="G12" s="245">
        <v>433.55335998999999</v>
      </c>
      <c r="H12" s="244"/>
      <c r="I12" s="245">
        <v>453.73360688000002</v>
      </c>
      <c r="J12" s="244"/>
      <c r="K12" s="245">
        <v>460.47094214211199</v>
      </c>
    </row>
    <row r="13" spans="1:11" x14ac:dyDescent="0.2">
      <c r="A13" s="243" t="s">
        <v>130</v>
      </c>
      <c r="B13" s="248">
        <v>8.39</v>
      </c>
      <c r="C13" s="308">
        <v>138.05286067000003</v>
      </c>
      <c r="D13" s="248">
        <v>8.94</v>
      </c>
      <c r="E13" s="308">
        <v>147.10280982</v>
      </c>
      <c r="F13" s="248">
        <v>8.11</v>
      </c>
      <c r="G13" s="245">
        <v>133.44561382999999</v>
      </c>
      <c r="H13" s="248">
        <v>7.84</v>
      </c>
      <c r="I13" s="245">
        <v>129</v>
      </c>
      <c r="J13" s="248">
        <v>7.61</v>
      </c>
      <c r="K13" s="245">
        <v>125.136115065</v>
      </c>
    </row>
    <row r="14" spans="1:11" x14ac:dyDescent="0.2">
      <c r="A14" s="246" t="s">
        <v>148</v>
      </c>
      <c r="B14" s="248">
        <v>53.37</v>
      </c>
      <c r="C14" s="308">
        <v>14.25411297</v>
      </c>
      <c r="D14" s="248">
        <v>58.5</v>
      </c>
      <c r="E14" s="308">
        <v>15.624238500000001</v>
      </c>
      <c r="F14" s="248">
        <v>62.33</v>
      </c>
      <c r="G14" s="245">
        <v>16.647158730000001</v>
      </c>
      <c r="H14" s="248">
        <v>63.47</v>
      </c>
      <c r="I14" s="245">
        <v>16.951631070000001</v>
      </c>
      <c r="J14" s="248">
        <v>61.6</v>
      </c>
      <c r="K14" s="245">
        <v>16.452189600000001</v>
      </c>
    </row>
    <row r="15" spans="1:11" x14ac:dyDescent="0.2">
      <c r="A15" s="243" t="s">
        <v>132</v>
      </c>
      <c r="B15" s="248">
        <v>47.82</v>
      </c>
      <c r="C15" s="308">
        <v>5.2841100000000001</v>
      </c>
      <c r="D15" s="248">
        <v>43.96</v>
      </c>
      <c r="E15" s="308">
        <v>4.8575799999999996</v>
      </c>
      <c r="F15" s="248">
        <v>38.9</v>
      </c>
      <c r="G15" s="245">
        <v>4.2984499999999999</v>
      </c>
      <c r="H15" s="248">
        <v>39.19</v>
      </c>
      <c r="I15" s="245">
        <v>4.330495</v>
      </c>
      <c r="J15" s="248">
        <v>37.69</v>
      </c>
      <c r="K15" s="250">
        <v>4.1647449999999999</v>
      </c>
    </row>
    <row r="16" spans="1:11" x14ac:dyDescent="0.2">
      <c r="A16" s="243" t="s">
        <v>182</v>
      </c>
      <c r="B16" s="248"/>
      <c r="C16" s="308">
        <v>0</v>
      </c>
      <c r="D16" s="248"/>
      <c r="E16" s="245">
        <v>0</v>
      </c>
      <c r="F16" s="248"/>
      <c r="G16" s="245">
        <v>0</v>
      </c>
      <c r="H16" s="248"/>
      <c r="I16" s="245">
        <v>0</v>
      </c>
      <c r="J16" s="253"/>
      <c r="K16" s="245">
        <v>0</v>
      </c>
    </row>
    <row r="17" spans="1:11" x14ac:dyDescent="0.2">
      <c r="A17" s="254" t="s">
        <v>166</v>
      </c>
      <c r="B17" s="251"/>
      <c r="C17" s="308">
        <v>2742.5902233039697</v>
      </c>
      <c r="D17" s="251"/>
      <c r="E17" s="245">
        <v>2845.2082701420049</v>
      </c>
      <c r="F17" s="251"/>
      <c r="G17" s="245">
        <v>2974.4160489641199</v>
      </c>
      <c r="H17" s="251"/>
      <c r="I17" s="245">
        <v>3008.8114741679501</v>
      </c>
      <c r="J17" s="251"/>
      <c r="K17" s="245">
        <v>2950.79134574097</v>
      </c>
    </row>
    <row r="18" spans="1:11" x14ac:dyDescent="0.2">
      <c r="A18" s="254" t="s">
        <v>183</v>
      </c>
      <c r="B18" s="251"/>
      <c r="C18" s="16">
        <v>137.45373882632501</v>
      </c>
      <c r="D18" s="251"/>
      <c r="E18" s="245">
        <v>125.31458196999999</v>
      </c>
      <c r="F18" s="251"/>
      <c r="G18" s="245">
        <v>122.59935195</v>
      </c>
      <c r="H18" s="251"/>
      <c r="I18" s="245">
        <v>112.91932546</v>
      </c>
      <c r="J18" s="251"/>
      <c r="K18" s="245">
        <v>109.80648376000001</v>
      </c>
    </row>
    <row r="19" spans="1:11" ht="16.149999999999999" customHeight="1" x14ac:dyDescent="0.2">
      <c r="A19" s="255" t="s">
        <v>184</v>
      </c>
      <c r="B19" s="256"/>
      <c r="C19" s="308">
        <v>391.2033981034304</v>
      </c>
      <c r="D19" s="256"/>
      <c r="E19" s="245">
        <v>-460.77489205861389</v>
      </c>
      <c r="F19" s="256"/>
      <c r="G19" s="245">
        <v>-556.38543460422989</v>
      </c>
      <c r="H19" s="256"/>
      <c r="I19" s="245">
        <v>-577.11678803871018</v>
      </c>
      <c r="J19" s="256"/>
      <c r="K19" s="245">
        <v>-816.07973544147308</v>
      </c>
    </row>
    <row r="20" spans="1:11" x14ac:dyDescent="0.2">
      <c r="A20" s="257" t="s">
        <v>135</v>
      </c>
      <c r="B20" s="258"/>
      <c r="C20" s="259">
        <f>SUM(C2:C19)</f>
        <v>15680.935136336044</v>
      </c>
      <c r="D20" s="258"/>
      <c r="E20" s="259">
        <f>SUM(E2:E19)</f>
        <v>16329.93888681974</v>
      </c>
      <c r="F20" s="258"/>
      <c r="G20" s="259">
        <f>SUM(G2:G19)</f>
        <v>15764.379977932938</v>
      </c>
      <c r="H20" s="258"/>
      <c r="I20" s="259">
        <v>16997.614943083598</v>
      </c>
      <c r="J20" s="258"/>
      <c r="K20" s="259">
        <f>SUM(K2:K19)</f>
        <v>16671.477995507586</v>
      </c>
    </row>
    <row r="21" spans="1:11" x14ac:dyDescent="0.2">
      <c r="A21" s="260" t="s">
        <v>136</v>
      </c>
      <c r="B21" s="261"/>
      <c r="C21" s="262">
        <f>(C20*1000000/C24)-0</f>
        <v>113.30155445329511</v>
      </c>
      <c r="D21" s="261"/>
      <c r="E21" s="262">
        <f>(E20*1000000/E24)-0</f>
        <v>117.99088791054726</v>
      </c>
      <c r="F21" s="261"/>
      <c r="G21" s="262">
        <f>(G20*1000000/G24)-0</f>
        <v>113.90447960934203</v>
      </c>
      <c r="H21" s="261"/>
      <c r="I21" s="262">
        <v>115.86649586287388</v>
      </c>
      <c r="J21" s="261"/>
      <c r="K21" s="262">
        <f>(K20*1000000/K24)-0</f>
        <v>113.64334011934278</v>
      </c>
    </row>
    <row r="22" spans="1:11" x14ac:dyDescent="0.2">
      <c r="A22" s="260" t="s">
        <v>114</v>
      </c>
      <c r="B22" s="261"/>
      <c r="C22" s="263">
        <v>66.05</v>
      </c>
      <c r="D22" s="261"/>
      <c r="E22" s="263">
        <v>69.95</v>
      </c>
      <c r="F22" s="261"/>
      <c r="G22" s="263">
        <v>66.650000000000006</v>
      </c>
      <c r="H22" s="261"/>
      <c r="I22" s="263">
        <v>70.06</v>
      </c>
      <c r="J22" s="261"/>
      <c r="K22" s="263">
        <v>71.22</v>
      </c>
    </row>
    <row r="23" spans="1:11" x14ac:dyDescent="0.2">
      <c r="A23" s="264"/>
      <c r="B23" s="265"/>
      <c r="C23" s="266"/>
      <c r="D23" s="265"/>
      <c r="E23" s="266"/>
      <c r="F23" s="265"/>
      <c r="G23" s="266"/>
      <c r="H23" s="265"/>
      <c r="I23" s="266"/>
      <c r="J23" s="265"/>
      <c r="K23" s="266"/>
    </row>
    <row r="24" spans="1:11" x14ac:dyDescent="0.2">
      <c r="A24" s="267" t="s">
        <v>78</v>
      </c>
      <c r="B24" s="268"/>
      <c r="C24" s="269">
        <v>138400000</v>
      </c>
      <c r="D24" s="268"/>
      <c r="E24" s="269">
        <v>138400000</v>
      </c>
      <c r="F24" s="268"/>
      <c r="G24" s="269">
        <v>138400000</v>
      </c>
      <c r="H24" s="268"/>
      <c r="I24" s="269">
        <v>146700000</v>
      </c>
      <c r="J24" s="268"/>
      <c r="K24" s="269">
        <v>146700000</v>
      </c>
    </row>
    <row r="26" spans="1:11" ht="15" x14ac:dyDescent="0.2">
      <c r="A26" s="307" t="s">
        <v>188</v>
      </c>
      <c r="B26" s="270"/>
      <c r="C26" s="269">
        <v>5.3347222433769703</v>
      </c>
      <c r="D26" s="270"/>
      <c r="E26" s="269">
        <v>7.0950854464372801</v>
      </c>
      <c r="F26" s="270"/>
      <c r="G26" s="269">
        <v>11.9062225688503</v>
      </c>
      <c r="H26" s="270"/>
      <c r="I26" s="269">
        <v>14</v>
      </c>
      <c r="J26" s="270"/>
      <c r="K26" s="269">
        <v>27</v>
      </c>
    </row>
    <row r="27" spans="1:11" ht="15" x14ac:dyDescent="0.2">
      <c r="A27" s="307"/>
      <c r="B27" s="272"/>
      <c r="D27" s="272"/>
      <c r="F27" s="272"/>
      <c r="H27" s="272"/>
      <c r="J27" s="272"/>
    </row>
    <row r="28" spans="1:11" x14ac:dyDescent="0.2">
      <c r="B28" s="241"/>
      <c r="D28" s="241"/>
      <c r="F28" s="241"/>
      <c r="H28" s="241"/>
      <c r="J28" s="241"/>
    </row>
    <row r="29" spans="1:11" x14ac:dyDescent="0.2">
      <c r="B29" s="272"/>
      <c r="D29" s="272"/>
      <c r="F29" s="272"/>
      <c r="H29" s="272"/>
      <c r="J29" s="272"/>
    </row>
    <row r="30" spans="1:11" x14ac:dyDescent="0.2">
      <c r="B30" s="272"/>
      <c r="D30" s="272"/>
      <c r="F30" s="272"/>
      <c r="H30" s="272"/>
      <c r="J30" s="27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75EB-E8FD-48F1-8F21-EEC9AA706B3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S20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32.140625" style="26" hidden="1" customWidth="1"/>
    <col min="2" max="2" width="33.28515625" style="26" customWidth="1"/>
    <col min="3" max="3" width="33.4257812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175" s="152" customFormat="1" ht="22.5" customHeight="1" x14ac:dyDescent="0.2">
      <c r="A1" s="2" t="s">
        <v>37</v>
      </c>
      <c r="B1" s="2" t="s">
        <v>38</v>
      </c>
      <c r="C1" s="2" t="s">
        <v>39</v>
      </c>
      <c r="D1" s="3"/>
      <c r="E1" s="150">
        <v>36891</v>
      </c>
      <c r="F1" s="3"/>
      <c r="G1" s="150">
        <v>36833</v>
      </c>
      <c r="H1" s="3"/>
      <c r="I1" s="150">
        <v>36784</v>
      </c>
      <c r="J1" s="3"/>
      <c r="K1" s="150">
        <v>36707</v>
      </c>
      <c r="L1" s="151"/>
      <c r="M1" s="8">
        <v>36651</v>
      </c>
      <c r="N1" s="3"/>
      <c r="O1" s="150">
        <v>36595</v>
      </c>
      <c r="P1" s="3"/>
      <c r="Q1" s="150">
        <v>36525</v>
      </c>
      <c r="R1" s="138"/>
      <c r="S1" s="8"/>
      <c r="T1" s="151"/>
      <c r="U1" s="8"/>
      <c r="V1" s="151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9" t="s">
        <v>3</v>
      </c>
      <c r="AE1" s="11">
        <v>35976</v>
      </c>
      <c r="AF1" s="9" t="s">
        <v>3</v>
      </c>
      <c r="AG1" s="11">
        <v>35884</v>
      </c>
      <c r="AH1" s="6" t="s">
        <v>3</v>
      </c>
      <c r="AI1" s="11">
        <v>35795</v>
      </c>
      <c r="AK1" s="152">
        <v>40.3399</v>
      </c>
    </row>
    <row r="2" spans="1:175" x14ac:dyDescent="0.2">
      <c r="A2" s="1" t="s">
        <v>5</v>
      </c>
      <c r="B2" s="14" t="str">
        <f>A2</f>
        <v>RTL Group</v>
      </c>
      <c r="C2" s="14" t="str">
        <f>A2</f>
        <v>RTL Group</v>
      </c>
      <c r="D2" s="43">
        <v>87.5</v>
      </c>
      <c r="E2" s="155">
        <v>3552</v>
      </c>
      <c r="F2" s="43">
        <v>99.85</v>
      </c>
      <c r="G2" s="155">
        <v>4040</v>
      </c>
      <c r="H2" s="43">
        <v>142.5</v>
      </c>
      <c r="I2" s="155">
        <v>5745</v>
      </c>
      <c r="J2" s="43">
        <v>135</v>
      </c>
      <c r="K2" s="155">
        <v>5422</v>
      </c>
      <c r="L2" s="29">
        <v>134</v>
      </c>
      <c r="M2" s="30">
        <v>5365</v>
      </c>
      <c r="N2" s="43">
        <v>155</v>
      </c>
      <c r="O2" s="155">
        <v>6206</v>
      </c>
      <c r="P2" s="43">
        <v>75</v>
      </c>
      <c r="Q2" s="155">
        <v>3215</v>
      </c>
      <c r="R2" s="29"/>
      <c r="S2" s="30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175" x14ac:dyDescent="0.2">
      <c r="A3" s="156" t="s">
        <v>7</v>
      </c>
      <c r="B3" s="156" t="s">
        <v>8</v>
      </c>
      <c r="C3" s="156" t="s">
        <v>9</v>
      </c>
      <c r="D3" s="157"/>
      <c r="E3" s="160">
        <v>384</v>
      </c>
      <c r="F3" s="157"/>
      <c r="G3" s="160">
        <v>439</v>
      </c>
      <c r="H3" s="157"/>
      <c r="I3" s="160">
        <v>626</v>
      </c>
      <c r="J3" s="157"/>
      <c r="K3" s="160">
        <v>593</v>
      </c>
      <c r="L3" s="36"/>
      <c r="M3" s="184"/>
      <c r="N3" s="157"/>
      <c r="O3" s="160">
        <v>681</v>
      </c>
      <c r="P3" s="157"/>
      <c r="Q3" s="160">
        <v>1138</v>
      </c>
      <c r="R3" s="36"/>
      <c r="S3" s="37"/>
      <c r="T3" s="29"/>
      <c r="U3" s="30"/>
      <c r="V3" s="29">
        <v>48.35</v>
      </c>
      <c r="W3" s="30">
        <v>1302</v>
      </c>
      <c r="X3" s="29">
        <v>46.55</v>
      </c>
      <c r="Y3" s="30">
        <v>1242</v>
      </c>
      <c r="Z3" s="31">
        <v>37.450000000000003</v>
      </c>
      <c r="AA3" s="30">
        <v>991</v>
      </c>
      <c r="AB3" s="32" t="e">
        <f>1550/AM1</f>
        <v>#DIV/0!</v>
      </c>
      <c r="AC3" s="33" t="e">
        <f>40072/AM1</f>
        <v>#DIV/0!</v>
      </c>
      <c r="AD3" s="32" t="e">
        <f>1498/AM1</f>
        <v>#DIV/0!</v>
      </c>
      <c r="AE3" s="33" t="e">
        <f>38499/AM1</f>
        <v>#DIV/0!</v>
      </c>
      <c r="AF3" s="32" t="e">
        <f>1520/AM1</f>
        <v>#DIV/0!</v>
      </c>
      <c r="AG3" s="33" t="e">
        <f>38837/AM1</f>
        <v>#DIV/0!</v>
      </c>
      <c r="AH3" s="32" t="e">
        <f>1510/AM1</f>
        <v>#DIV/0!</v>
      </c>
      <c r="AI3" s="33" t="e">
        <f>26966/AM1</f>
        <v>#DIV/0!</v>
      </c>
      <c r="AJ3" s="29" t="e">
        <f>1510/AM1</f>
        <v>#DIV/0!</v>
      </c>
      <c r="AK3" s="33" t="e">
        <f>25184/AM1</f>
        <v>#DIV/0!</v>
      </c>
      <c r="AL3" s="1" t="s">
        <v>6</v>
      </c>
    </row>
    <row r="4" spans="1:175" s="42" customFormat="1" ht="14.25" customHeight="1" x14ac:dyDescent="0.2">
      <c r="A4" s="156" t="s">
        <v>10</v>
      </c>
      <c r="B4" s="156" t="s">
        <v>11</v>
      </c>
      <c r="C4" s="156" t="s">
        <v>12</v>
      </c>
      <c r="D4" s="185"/>
      <c r="E4" s="45"/>
      <c r="F4" s="185"/>
      <c r="G4" s="45"/>
      <c r="H4" s="185"/>
      <c r="I4" s="45"/>
      <c r="J4" s="185"/>
      <c r="K4" s="45"/>
      <c r="L4" s="26"/>
      <c r="M4" s="26"/>
      <c r="N4" s="185"/>
      <c r="O4" s="45"/>
      <c r="P4" s="185"/>
      <c r="Q4" s="45"/>
      <c r="R4" s="87"/>
      <c r="S4" s="26"/>
      <c r="T4" s="38"/>
      <c r="U4" s="39"/>
      <c r="V4" s="38"/>
      <c r="W4" s="39"/>
      <c r="X4" s="38"/>
      <c r="Y4" s="39"/>
      <c r="Z4" s="40"/>
      <c r="AA4" s="39"/>
      <c r="AB4" s="38"/>
      <c r="AC4" s="41"/>
      <c r="AD4" s="38"/>
      <c r="AE4" s="41"/>
      <c r="AF4" s="38"/>
      <c r="AG4" s="41"/>
      <c r="AH4" s="38"/>
      <c r="AI4" s="41"/>
      <c r="AJ4" s="38"/>
      <c r="AK4" s="41"/>
      <c r="AL4" s="41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</row>
    <row r="5" spans="1:175" s="42" customFormat="1" x14ac:dyDescent="0.2">
      <c r="A5" s="14" t="s">
        <v>13</v>
      </c>
      <c r="B5" s="14" t="str">
        <f>A5</f>
        <v>TotalFinaElf</v>
      </c>
      <c r="C5" s="14" t="str">
        <f>B5</f>
        <v>TotalFinaElf</v>
      </c>
      <c r="D5" s="43">
        <v>158.4</v>
      </c>
      <c r="E5" s="155">
        <v>3080</v>
      </c>
      <c r="F5" s="43">
        <v>163</v>
      </c>
      <c r="G5" s="155">
        <v>3154</v>
      </c>
      <c r="H5" s="43">
        <v>180.6</v>
      </c>
      <c r="I5" s="155">
        <v>3592</v>
      </c>
      <c r="J5" s="43">
        <v>160.6</v>
      </c>
      <c r="K5" s="155">
        <v>3175</v>
      </c>
      <c r="L5" s="29">
        <v>161.5</v>
      </c>
      <c r="M5" s="30">
        <v>3177</v>
      </c>
      <c r="N5" s="43">
        <v>147.4</v>
      </c>
      <c r="O5" s="155">
        <v>2889</v>
      </c>
      <c r="P5" s="43">
        <v>132.5</v>
      </c>
      <c r="Q5" s="155">
        <v>2577</v>
      </c>
      <c r="R5" s="29"/>
      <c r="S5" s="30"/>
      <c r="T5" s="38"/>
      <c r="U5" s="39"/>
      <c r="V5" s="38"/>
      <c r="W5" s="39"/>
      <c r="X5" s="38"/>
      <c r="Y5" s="39"/>
      <c r="Z5" s="40"/>
      <c r="AA5" s="39"/>
      <c r="AB5" s="38"/>
      <c r="AC5" s="41"/>
      <c r="AD5" s="38"/>
      <c r="AE5" s="41"/>
      <c r="AF5" s="38"/>
      <c r="AG5" s="41"/>
      <c r="AH5" s="38"/>
      <c r="AI5" s="41"/>
      <c r="AJ5" s="38"/>
      <c r="AK5" s="41"/>
      <c r="AL5" s="41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</row>
    <row r="6" spans="1:175" x14ac:dyDescent="0.2">
      <c r="A6" s="14" t="s">
        <v>40</v>
      </c>
      <c r="B6" s="14" t="str">
        <f>A6</f>
        <v>Suez Lyonnaise des Eaux</v>
      </c>
      <c r="C6" s="14" t="str">
        <f>A6</f>
        <v>Suez Lyonnaise des Eaux</v>
      </c>
      <c r="D6" s="43">
        <v>194.5</v>
      </c>
      <c r="E6" s="34">
        <v>2355</v>
      </c>
      <c r="F6" s="43">
        <v>183.6</v>
      </c>
      <c r="G6" s="34">
        <v>2304</v>
      </c>
      <c r="H6" s="43">
        <v>172.5</v>
      </c>
      <c r="I6" s="34">
        <v>2354</v>
      </c>
      <c r="J6" s="43">
        <v>183.5</v>
      </c>
      <c r="K6" s="34">
        <v>2493</v>
      </c>
      <c r="L6" s="29">
        <v>180</v>
      </c>
      <c r="M6" s="33">
        <v>2433</v>
      </c>
      <c r="N6" s="43">
        <v>190</v>
      </c>
      <c r="O6" s="34">
        <v>2559</v>
      </c>
      <c r="P6" s="43">
        <v>159.1</v>
      </c>
      <c r="Q6" s="34">
        <v>2126</v>
      </c>
      <c r="R6" s="29"/>
      <c r="S6" s="33"/>
      <c r="T6" s="29"/>
      <c r="U6" s="30"/>
      <c r="V6" s="29">
        <v>120.9</v>
      </c>
      <c r="W6" s="30">
        <v>2351</v>
      </c>
      <c r="X6" s="29">
        <v>125.1</v>
      </c>
      <c r="Y6" s="30">
        <v>2399</v>
      </c>
      <c r="Z6" s="44">
        <f>460.3/4.5</f>
        <v>102.28888888888889</v>
      </c>
      <c r="AA6" s="30">
        <v>1921</v>
      </c>
      <c r="AB6" s="32">
        <v>86.76</v>
      </c>
      <c r="AC6" s="33">
        <v>1590</v>
      </c>
      <c r="AD6" s="32" t="e">
        <f>12875/(#REF!*4.5)</f>
        <v>#REF!</v>
      </c>
      <c r="AE6" s="33" t="e">
        <f>52109/#REF!</f>
        <v>#REF!</v>
      </c>
      <c r="AF6" s="32" t="e">
        <f>15275/(#REF!*4.5)</f>
        <v>#REF!</v>
      </c>
      <c r="AG6" s="33" t="e">
        <f>61445/#REF!</f>
        <v>#REF!</v>
      </c>
      <c r="AH6" s="32" t="e">
        <f>13950/#REF!</f>
        <v>#REF!</v>
      </c>
      <c r="AI6" s="33" t="e">
        <f>38455/#REF!</f>
        <v>#REF!</v>
      </c>
      <c r="AJ6" s="29" t="e">
        <f>13675/#REF!</f>
        <v>#REF!</v>
      </c>
      <c r="AK6" s="33" t="e">
        <f>35072/#REF!</f>
        <v>#REF!</v>
      </c>
      <c r="AL6" s="14" t="s">
        <v>6</v>
      </c>
    </row>
    <row r="7" spans="1:175" x14ac:dyDescent="0.2">
      <c r="A7" s="14" t="s">
        <v>14</v>
      </c>
      <c r="B7" s="14" t="str">
        <f>A7</f>
        <v>Imerys</v>
      </c>
      <c r="C7" s="14" t="str">
        <f>B7</f>
        <v>Imerys</v>
      </c>
      <c r="D7" s="43">
        <v>121</v>
      </c>
      <c r="E7" s="155">
        <v>507</v>
      </c>
      <c r="F7" s="43">
        <v>112.2</v>
      </c>
      <c r="G7" s="155">
        <v>470</v>
      </c>
      <c r="H7" s="43">
        <v>129.6</v>
      </c>
      <c r="I7" s="155">
        <v>543</v>
      </c>
      <c r="J7" s="43">
        <v>121.6</v>
      </c>
      <c r="K7" s="155">
        <v>509</v>
      </c>
      <c r="L7" s="29">
        <v>130.9</v>
      </c>
      <c r="M7" s="30">
        <v>548</v>
      </c>
      <c r="N7" s="43">
        <v>126.5</v>
      </c>
      <c r="O7" s="155">
        <v>530</v>
      </c>
      <c r="P7" s="43">
        <v>148</v>
      </c>
      <c r="Q7" s="155">
        <v>620</v>
      </c>
      <c r="R7" s="29"/>
      <c r="S7" s="30"/>
      <c r="T7" s="29"/>
      <c r="U7" s="33"/>
      <c r="V7" s="29">
        <v>159.9</v>
      </c>
      <c r="W7" s="33">
        <v>2134</v>
      </c>
      <c r="X7" s="29">
        <v>174.9</v>
      </c>
      <c r="Y7" s="33">
        <v>2278</v>
      </c>
      <c r="Z7" s="32">
        <v>173.2</v>
      </c>
      <c r="AA7" s="33">
        <v>2197</v>
      </c>
      <c r="AB7" s="32" t="e">
        <f>1148/AN1</f>
        <v>#DIV/0!</v>
      </c>
      <c r="AC7" s="33" t="e">
        <f>85728/AM1</f>
        <v>#DIV/0!</v>
      </c>
      <c r="AD7" s="32" t="e">
        <f>1029/AN1</f>
        <v>#DIV/0!</v>
      </c>
      <c r="AE7" s="33" t="e">
        <f>76396/AM1</f>
        <v>#DIV/0!</v>
      </c>
      <c r="AF7" s="32" t="e">
        <f>995/AN1</f>
        <v>#DIV/0!</v>
      </c>
      <c r="AG7" s="33" t="e">
        <f>73440/AM1</f>
        <v>#DIV/0!</v>
      </c>
      <c r="AH7" s="32" t="e">
        <f>889/AN1</f>
        <v>#DIV/0!</v>
      </c>
      <c r="AI7" s="33" t="e">
        <f>41140/AM1</f>
        <v>#DIV/0!</v>
      </c>
      <c r="AJ7" s="29" t="e">
        <f>666/AN1</f>
        <v>#DIV/0!</v>
      </c>
      <c r="AK7" s="33" t="e">
        <f>28071/AM1</f>
        <v>#DIV/0!</v>
      </c>
      <c r="AL7" s="14" t="s">
        <v>6</v>
      </c>
    </row>
    <row r="8" spans="1:175" x14ac:dyDescent="0.2">
      <c r="A8" s="14" t="s">
        <v>15</v>
      </c>
      <c r="B8" s="14" t="str">
        <f>A8</f>
        <v>Rhodia</v>
      </c>
      <c r="C8" s="14" t="str">
        <f>A8</f>
        <v>Rhodia</v>
      </c>
      <c r="D8" s="43">
        <v>16.5</v>
      </c>
      <c r="E8" s="161">
        <v>181</v>
      </c>
      <c r="F8" s="43">
        <v>14.92</v>
      </c>
      <c r="G8" s="161">
        <v>165</v>
      </c>
      <c r="H8" s="43">
        <v>14.5</v>
      </c>
      <c r="I8" s="161">
        <v>162</v>
      </c>
      <c r="J8" s="43">
        <v>17.600000000000001</v>
      </c>
      <c r="K8" s="161">
        <v>181</v>
      </c>
      <c r="L8" s="29">
        <v>20.55</v>
      </c>
      <c r="M8" s="47">
        <v>184</v>
      </c>
      <c r="N8" s="43">
        <v>16.5</v>
      </c>
      <c r="O8" s="161">
        <v>148</v>
      </c>
      <c r="P8" s="43">
        <v>22.44</v>
      </c>
      <c r="Q8" s="161">
        <v>201</v>
      </c>
      <c r="R8" s="29"/>
      <c r="S8" s="47"/>
      <c r="T8" s="29"/>
      <c r="U8" s="30"/>
      <c r="V8" s="29">
        <v>149.1</v>
      </c>
      <c r="W8" s="30">
        <v>624</v>
      </c>
      <c r="X8" s="29">
        <v>144</v>
      </c>
      <c r="Y8" s="30">
        <v>603</v>
      </c>
      <c r="Z8" s="31">
        <v>99.6</v>
      </c>
      <c r="AA8" s="30">
        <v>417</v>
      </c>
      <c r="AB8" s="32" t="e">
        <f>560/AN1</f>
        <v>#DIV/0!</v>
      </c>
      <c r="AC8" s="33" t="e">
        <f>14416/AM1</f>
        <v>#DIV/0!</v>
      </c>
      <c r="AD8" s="32" t="e">
        <f>563/AN1</f>
        <v>#DIV/0!</v>
      </c>
      <c r="AE8" s="33" t="e">
        <f>14484/AM1</f>
        <v>#DIV/0!</v>
      </c>
      <c r="AF8" s="32" t="e">
        <f>831/AN1</f>
        <v>#DIV/0!</v>
      </c>
      <c r="AG8" s="33" t="e">
        <f>19136/AM1</f>
        <v>#DIV/0!</v>
      </c>
      <c r="AH8" s="32" t="e">
        <f>818/AN1</f>
        <v>#DIV/0!</v>
      </c>
      <c r="AI8" s="33" t="e">
        <f>16662/AM1</f>
        <v>#DIV/0!</v>
      </c>
      <c r="AJ8" s="29" t="e">
        <f>748/AN1</f>
        <v>#DIV/0!</v>
      </c>
      <c r="AK8" s="33" t="e">
        <f>15243/AM1</f>
        <v>#DIV/0!</v>
      </c>
      <c r="AL8" s="14" t="s">
        <v>6</v>
      </c>
    </row>
    <row r="9" spans="1:175" x14ac:dyDescent="0.2">
      <c r="A9" s="14" t="s">
        <v>17</v>
      </c>
      <c r="B9" s="14" t="s">
        <v>18</v>
      </c>
      <c r="C9" s="14" t="s">
        <v>19</v>
      </c>
      <c r="D9" s="43"/>
      <c r="E9" s="155">
        <v>296</v>
      </c>
      <c r="F9" s="43"/>
      <c r="G9" s="155">
        <v>256</v>
      </c>
      <c r="H9" s="43"/>
      <c r="I9" s="155">
        <v>266</v>
      </c>
      <c r="J9" s="43"/>
      <c r="K9" s="155">
        <v>246</v>
      </c>
      <c r="L9" s="48"/>
      <c r="M9" s="30">
        <v>245</v>
      </c>
      <c r="N9" s="43"/>
      <c r="O9" s="155">
        <v>220</v>
      </c>
      <c r="P9" s="43"/>
      <c r="Q9" s="155">
        <v>216</v>
      </c>
      <c r="R9" s="29"/>
      <c r="S9" s="30"/>
      <c r="T9" s="29"/>
      <c r="U9" s="47"/>
      <c r="V9" s="47"/>
      <c r="W9" s="47" t="s">
        <v>16</v>
      </c>
      <c r="X9" s="48"/>
      <c r="Y9" s="47" t="s">
        <v>16</v>
      </c>
      <c r="AA9" s="47" t="s">
        <v>16</v>
      </c>
      <c r="AB9" s="23"/>
      <c r="AC9" s="47" t="s">
        <v>16</v>
      </c>
      <c r="AD9" s="23"/>
      <c r="AE9" s="47"/>
      <c r="AF9" s="23"/>
      <c r="AG9" s="47"/>
      <c r="AH9" s="23"/>
      <c r="AI9" s="33"/>
      <c r="AJ9" s="25"/>
      <c r="AK9" s="33"/>
      <c r="AL9" s="14"/>
    </row>
    <row r="10" spans="1:175" x14ac:dyDescent="0.2">
      <c r="A10" s="50" t="s">
        <v>20</v>
      </c>
      <c r="B10" s="50" t="s">
        <v>21</v>
      </c>
      <c r="C10" s="50" t="s">
        <v>22</v>
      </c>
      <c r="D10" s="43"/>
      <c r="E10" s="162">
        <v>46</v>
      </c>
      <c r="F10" s="43"/>
      <c r="G10" s="162">
        <v>-56</v>
      </c>
      <c r="H10" s="43"/>
      <c r="I10" s="162">
        <v>-351</v>
      </c>
      <c r="J10" s="43"/>
      <c r="K10" s="162">
        <v>-353</v>
      </c>
      <c r="L10" s="52"/>
      <c r="M10" s="53">
        <v>-322</v>
      </c>
      <c r="N10" s="43"/>
      <c r="O10" s="162">
        <v>-307</v>
      </c>
      <c r="P10" s="43"/>
      <c r="Q10" s="162">
        <v>-594</v>
      </c>
      <c r="R10" s="29"/>
      <c r="S10" s="53"/>
      <c r="T10" s="48"/>
      <c r="U10" s="30"/>
      <c r="V10" s="48"/>
      <c r="W10" s="30">
        <v>266</v>
      </c>
      <c r="X10" s="48"/>
      <c r="Y10" s="30">
        <v>257</v>
      </c>
      <c r="AA10" s="30">
        <f>25+190</f>
        <v>215</v>
      </c>
      <c r="AB10" s="23" t="s">
        <v>3</v>
      </c>
      <c r="AC10" s="33" t="e">
        <f>7517/AM1+1</f>
        <v>#DIV/0!</v>
      </c>
      <c r="AD10" s="23" t="s">
        <v>3</v>
      </c>
      <c r="AE10" s="33" t="e">
        <f>10221/AM1</f>
        <v>#DIV/0!</v>
      </c>
      <c r="AF10" s="23" t="s">
        <v>6</v>
      </c>
      <c r="AG10" s="33" t="e">
        <f>13264/AM1</f>
        <v>#DIV/0!</v>
      </c>
      <c r="AH10" s="23" t="s">
        <v>6</v>
      </c>
      <c r="AI10" s="33" t="e">
        <f>15670/AM1+1</f>
        <v>#DIV/0!</v>
      </c>
      <c r="AJ10" s="25" t="s">
        <v>6</v>
      </c>
      <c r="AK10" s="33" t="e">
        <f>22978/AM1</f>
        <v>#DIV/0!</v>
      </c>
      <c r="AL10" s="14" t="s">
        <v>6</v>
      </c>
    </row>
    <row r="11" spans="1:175" s="53" customFormat="1" x14ac:dyDescent="0.2">
      <c r="A11" s="186" t="s">
        <v>7</v>
      </c>
      <c r="B11" s="186" t="s">
        <v>8</v>
      </c>
      <c r="C11" s="186" t="s">
        <v>23</v>
      </c>
      <c r="D11" s="157"/>
      <c r="E11" s="159">
        <v>-238</v>
      </c>
      <c r="F11" s="157"/>
      <c r="G11" s="159">
        <f>E11</f>
        <v>-238</v>
      </c>
      <c r="H11" s="157"/>
      <c r="I11" s="159">
        <v>-238</v>
      </c>
      <c r="J11" s="157"/>
      <c r="K11" s="159">
        <v>-238</v>
      </c>
      <c r="L11" s="38"/>
      <c r="M11" s="187"/>
      <c r="N11" s="157"/>
      <c r="O11" s="159">
        <v>-238</v>
      </c>
      <c r="P11" s="157"/>
      <c r="Q11" s="159">
        <v>-819</v>
      </c>
      <c r="R11" s="36"/>
      <c r="S11" s="39"/>
      <c r="T11" s="52"/>
      <c r="V11" s="52"/>
      <c r="W11" s="53">
        <v>392</v>
      </c>
      <c r="X11" s="52"/>
      <c r="Y11" s="53">
        <v>414</v>
      </c>
      <c r="Z11" s="54"/>
      <c r="AA11" s="53">
        <v>527</v>
      </c>
      <c r="AB11" s="55" t="s">
        <v>3</v>
      </c>
      <c r="AC11" s="55" t="e">
        <f>24308/AM1</f>
        <v>#DIV/0!</v>
      </c>
      <c r="AD11" s="55" t="s">
        <v>3</v>
      </c>
      <c r="AE11" s="55" t="e">
        <f>22554/AM1</f>
        <v>#DIV/0!</v>
      </c>
      <c r="AF11" s="55" t="s">
        <v>6</v>
      </c>
      <c r="AG11" s="55" t="e">
        <f>29104/AM1</f>
        <v>#DIV/0!</v>
      </c>
      <c r="AH11" s="55" t="s">
        <v>6</v>
      </c>
      <c r="AI11" s="55" t="e">
        <f>48989/AM1+1</f>
        <v>#DIV/0!</v>
      </c>
      <c r="AJ11" s="50" t="s">
        <v>6</v>
      </c>
      <c r="AK11" s="55" t="e">
        <f>37124/AM1+1</f>
        <v>#DIV/0!</v>
      </c>
      <c r="AL11" s="50" t="s">
        <v>6</v>
      </c>
    </row>
    <row r="12" spans="1:175" s="42" customFormat="1" ht="14.25" customHeight="1" x14ac:dyDescent="0.2">
      <c r="A12" s="156" t="s">
        <v>10</v>
      </c>
      <c r="B12" s="156" t="s">
        <v>11</v>
      </c>
      <c r="C12" s="156" t="s">
        <v>24</v>
      </c>
      <c r="D12" s="15"/>
      <c r="E12" s="132"/>
      <c r="F12" s="157"/>
      <c r="G12" s="160"/>
      <c r="H12" s="157"/>
      <c r="I12" s="160"/>
      <c r="J12" s="157"/>
      <c r="K12" s="159"/>
      <c r="L12" s="36"/>
      <c r="M12" s="37"/>
      <c r="N12" s="157"/>
      <c r="O12" s="160"/>
      <c r="P12" s="157"/>
      <c r="Q12" s="159"/>
      <c r="R12" s="36"/>
      <c r="S12" s="39"/>
      <c r="T12" s="38"/>
      <c r="U12" s="39"/>
      <c r="V12" s="38"/>
      <c r="W12" s="39"/>
      <c r="X12" s="38"/>
      <c r="Y12" s="39"/>
      <c r="Z12" s="40"/>
      <c r="AA12" s="39"/>
      <c r="AB12" s="38"/>
      <c r="AC12" s="41"/>
      <c r="AD12" s="38"/>
      <c r="AE12" s="41"/>
      <c r="AF12" s="38"/>
      <c r="AG12" s="41"/>
      <c r="AH12" s="38"/>
      <c r="AI12" s="41"/>
      <c r="AJ12" s="38"/>
      <c r="AK12" s="41"/>
      <c r="AL12" s="41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</row>
    <row r="13" spans="1:175" s="192" customFormat="1" x14ac:dyDescent="0.2">
      <c r="A13" s="56" t="s">
        <v>48</v>
      </c>
      <c r="B13" s="164" t="s">
        <v>138</v>
      </c>
      <c r="C13" s="164" t="s">
        <v>26</v>
      </c>
      <c r="D13" s="133"/>
      <c r="E13" s="165">
        <f>SUM(E2:E11)-E3-E11</f>
        <v>10017</v>
      </c>
      <c r="F13" s="133"/>
      <c r="G13" s="165">
        <f>SUM(G2:G11)-G3-G11</f>
        <v>10333</v>
      </c>
      <c r="H13" s="166"/>
      <c r="I13" s="165">
        <f>SUM(I2:I11)-I3-I11</f>
        <v>12311</v>
      </c>
      <c r="J13" s="166"/>
      <c r="K13" s="165">
        <f>SUM(K2:K11)-K3-K11</f>
        <v>11673</v>
      </c>
      <c r="L13" s="124">
        <f>SUM(L2:L10)</f>
        <v>626.94999999999993</v>
      </c>
      <c r="M13" s="124">
        <f>SUM(M2:M10)</f>
        <v>11630</v>
      </c>
      <c r="N13" s="166"/>
      <c r="O13" s="165">
        <f>SUM(O2:O11)-O3-O11</f>
        <v>12245</v>
      </c>
      <c r="P13" s="166"/>
      <c r="Q13" s="165">
        <f>SUM(Q2:Q11)-Q3-Q11</f>
        <v>8361</v>
      </c>
      <c r="R13" s="142"/>
      <c r="S13" s="140"/>
      <c r="T13" s="188"/>
      <c r="U13" s="189"/>
      <c r="V13" s="188"/>
      <c r="W13" s="189"/>
      <c r="X13" s="188"/>
      <c r="Y13" s="189"/>
      <c r="Z13" s="190"/>
      <c r="AA13" s="189"/>
      <c r="AB13" s="188"/>
      <c r="AC13" s="191"/>
      <c r="AD13" s="188"/>
      <c r="AE13" s="191"/>
      <c r="AF13" s="188"/>
      <c r="AG13" s="191"/>
      <c r="AH13" s="188"/>
      <c r="AI13" s="191"/>
      <c r="AJ13" s="188"/>
      <c r="AK13" s="191"/>
      <c r="AL13" s="191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</row>
    <row r="14" spans="1:175" x14ac:dyDescent="0.2">
      <c r="A14" s="66" t="s">
        <v>49</v>
      </c>
      <c r="B14" s="66" t="s">
        <v>139</v>
      </c>
      <c r="C14" s="66" t="s">
        <v>50</v>
      </c>
      <c r="D14" s="134"/>
      <c r="E14" s="168">
        <v>82</v>
      </c>
      <c r="F14" s="134"/>
      <c r="G14" s="168">
        <v>84.59</v>
      </c>
      <c r="H14" s="134"/>
      <c r="I14" s="168">
        <v>100.78</v>
      </c>
      <c r="J14" s="134"/>
      <c r="K14" s="168">
        <v>95.56</v>
      </c>
      <c r="L14" s="71"/>
      <c r="M14" s="22">
        <v>476.02</v>
      </c>
      <c r="N14" s="134"/>
      <c r="O14" s="168">
        <v>100.24</v>
      </c>
      <c r="P14" s="134"/>
      <c r="Q14" s="168">
        <v>68.44</v>
      </c>
      <c r="R14" s="146"/>
      <c r="S14" s="23"/>
      <c r="T14" s="48"/>
      <c r="U14" s="33"/>
      <c r="V14" s="48"/>
      <c r="W14" s="33">
        <f>SUM(W3:W7:W13)-W12-W4</f>
        <v>7069</v>
      </c>
      <c r="X14" s="48"/>
      <c r="Y14" s="33">
        <f>SUM(Y3:Y7:Y13)-Y12-Y4</f>
        <v>7193</v>
      </c>
      <c r="AA14" s="33">
        <f>SUM(AA3:AA7:AA13)-AA12-AA4</f>
        <v>6268</v>
      </c>
      <c r="AB14" s="23" t="s">
        <v>3</v>
      </c>
      <c r="AC14" s="33" t="e">
        <f>SUM(AC3:AC7:AC13)-AC12-AC4-1</f>
        <v>#DIV/0!</v>
      </c>
      <c r="AD14" s="23" t="s">
        <v>3</v>
      </c>
      <c r="AE14" s="33" t="e">
        <f>SUM(AE7:AE11)</f>
        <v>#DIV/0!</v>
      </c>
      <c r="AF14" s="23" t="s">
        <v>6</v>
      </c>
      <c r="AG14" s="33" t="e">
        <f>SUM(AG7:AG11)</f>
        <v>#DIV/0!</v>
      </c>
      <c r="AH14" s="23" t="s">
        <v>6</v>
      </c>
      <c r="AI14" s="19" t="e">
        <f>SUM(AI7:AI11)-2</f>
        <v>#DIV/0!</v>
      </c>
      <c r="AJ14" s="25" t="s">
        <v>6</v>
      </c>
      <c r="AK14" s="19" t="e">
        <f>SUM(AK7:AK11)-1</f>
        <v>#DIV/0!</v>
      </c>
      <c r="AL14" s="14" t="s">
        <v>6</v>
      </c>
      <c r="AM14" s="26" t="e">
        <f>236182/AM1</f>
        <v>#DIV/0!</v>
      </c>
      <c r="AN14" s="26" t="e">
        <f>214263/AM1</f>
        <v>#DIV/0!</v>
      </c>
    </row>
    <row r="15" spans="1:175" s="87" customFormat="1" x14ac:dyDescent="0.2">
      <c r="A15" s="66" t="s">
        <v>51</v>
      </c>
      <c r="B15" s="66" t="s">
        <v>52</v>
      </c>
      <c r="C15" s="66" t="s">
        <v>53</v>
      </c>
      <c r="D15" s="134"/>
      <c r="E15" s="169">
        <v>50.6</v>
      </c>
      <c r="F15" s="134"/>
      <c r="G15" s="169">
        <v>56</v>
      </c>
      <c r="H15" s="134"/>
      <c r="I15" s="169">
        <v>56.94</v>
      </c>
      <c r="J15" s="134"/>
      <c r="K15" s="169">
        <v>52.3</v>
      </c>
      <c r="L15" s="71"/>
      <c r="M15" s="72">
        <v>267.5</v>
      </c>
      <c r="N15" s="134"/>
      <c r="O15" s="169">
        <v>45.6</v>
      </c>
      <c r="P15" s="134"/>
      <c r="Q15" s="169">
        <v>40</v>
      </c>
      <c r="R15" s="146"/>
      <c r="T15" s="146"/>
      <c r="U15" s="23"/>
      <c r="V15" s="146"/>
      <c r="W15" s="23">
        <v>289.33</v>
      </c>
      <c r="X15" s="146"/>
      <c r="Y15" s="23">
        <v>256.52999999999997</v>
      </c>
      <c r="Z15" s="49"/>
      <c r="AA15" s="23">
        <v>256.52999999999997</v>
      </c>
      <c r="AB15" s="23" t="s">
        <v>3</v>
      </c>
      <c r="AC15" s="23">
        <v>239.64</v>
      </c>
      <c r="AD15" s="23" t="s">
        <v>3</v>
      </c>
      <c r="AE15" s="23">
        <v>217.47</v>
      </c>
      <c r="AF15" s="22"/>
      <c r="AG15" s="23">
        <v>238.97</v>
      </c>
      <c r="AH15" s="23" t="s">
        <v>6</v>
      </c>
      <c r="AI15" s="22">
        <v>206.87</v>
      </c>
      <c r="AJ15" s="25" t="s">
        <v>6</v>
      </c>
      <c r="AK15" s="22">
        <v>178.36</v>
      </c>
      <c r="AL15" s="25" t="s">
        <v>6</v>
      </c>
    </row>
    <row r="16" spans="1:175" s="87" customFormat="1" x14ac:dyDescent="0.2">
      <c r="A16" s="74" t="s">
        <v>32</v>
      </c>
      <c r="B16" s="74" t="s">
        <v>33</v>
      </c>
      <c r="C16" s="74" t="s">
        <v>34</v>
      </c>
      <c r="D16" s="170"/>
      <c r="E16" s="171">
        <v>0.38300000000000001</v>
      </c>
      <c r="F16" s="170"/>
      <c r="G16" s="171">
        <v>0.33800000000000002</v>
      </c>
      <c r="H16" s="170"/>
      <c r="I16" s="171">
        <v>0.435</v>
      </c>
      <c r="J16" s="170"/>
      <c r="K16" s="171">
        <v>0.45300000000000001</v>
      </c>
      <c r="L16" s="77"/>
      <c r="M16" s="78">
        <v>0.438</v>
      </c>
      <c r="N16" s="170"/>
      <c r="O16" s="171">
        <v>0.54500000000000004</v>
      </c>
      <c r="P16" s="170"/>
      <c r="Q16" s="171">
        <v>0.41599999999999998</v>
      </c>
      <c r="R16" s="172"/>
      <c r="S16" s="173"/>
      <c r="T16" s="146"/>
      <c r="V16" s="146"/>
      <c r="W16" s="87">
        <v>186.9</v>
      </c>
      <c r="X16" s="146"/>
      <c r="Y16" s="87">
        <v>163.9</v>
      </c>
      <c r="Z16" s="49"/>
      <c r="AA16" s="87">
        <v>167.5</v>
      </c>
      <c r="AB16" s="147" t="s">
        <v>3</v>
      </c>
      <c r="AC16" s="147">
        <v>173.53</v>
      </c>
      <c r="AD16" s="147" t="s">
        <v>3</v>
      </c>
      <c r="AE16" s="147">
        <v>160.63999999999999</v>
      </c>
      <c r="AF16" s="23" t="s">
        <v>6</v>
      </c>
      <c r="AG16" s="23">
        <v>186.17</v>
      </c>
      <c r="AH16" s="23" t="s">
        <v>6</v>
      </c>
      <c r="AI16" s="23">
        <v>160.63999999999999</v>
      </c>
      <c r="AJ16" s="25" t="s">
        <v>6</v>
      </c>
      <c r="AK16" s="23">
        <v>132.87</v>
      </c>
      <c r="AL16" s="148" t="s">
        <v>6</v>
      </c>
    </row>
    <row r="17" spans="1:38" s="173" customFormat="1" x14ac:dyDescent="0.2">
      <c r="A17" s="64" t="s">
        <v>54</v>
      </c>
      <c r="B17" s="64" t="s">
        <v>55</v>
      </c>
      <c r="C17" s="64" t="s">
        <v>56</v>
      </c>
      <c r="D17" s="136"/>
      <c r="E17" s="177">
        <v>122160125</v>
      </c>
      <c r="F17" s="136"/>
      <c r="G17" s="177">
        <v>122160125</v>
      </c>
      <c r="H17" s="136"/>
      <c r="I17" s="177">
        <v>122160125</v>
      </c>
      <c r="J17" s="136"/>
      <c r="K17" s="177">
        <v>122160125</v>
      </c>
      <c r="L17" s="61"/>
      <c r="M17" s="19">
        <v>24432025</v>
      </c>
      <c r="N17" s="136"/>
      <c r="O17" s="177">
        <v>122160125</v>
      </c>
      <c r="P17" s="136"/>
      <c r="Q17" s="177">
        <v>122160125</v>
      </c>
      <c r="R17" s="29"/>
      <c r="S17" s="33"/>
      <c r="T17" s="172"/>
      <c r="V17" s="172"/>
      <c r="W17" s="173">
        <v>0.35399999999999998</v>
      </c>
      <c r="X17" s="172"/>
      <c r="Y17" s="173">
        <v>0.443</v>
      </c>
      <c r="Z17" s="174"/>
      <c r="AA17" s="173">
        <v>0.34699999999999998</v>
      </c>
      <c r="AB17" s="175" t="s">
        <v>3</v>
      </c>
      <c r="AC17" s="175">
        <v>0.27600000000000002</v>
      </c>
      <c r="AD17" s="175" t="s">
        <v>3</v>
      </c>
      <c r="AE17" s="175">
        <v>0.26</v>
      </c>
      <c r="AF17" s="175" t="s">
        <v>6</v>
      </c>
      <c r="AG17" s="175">
        <v>0.221</v>
      </c>
      <c r="AH17" s="175" t="s">
        <v>6</v>
      </c>
      <c r="AI17" s="175">
        <v>0.224</v>
      </c>
      <c r="AJ17" s="176" t="s">
        <v>6</v>
      </c>
      <c r="AK17" s="175">
        <v>0.255</v>
      </c>
      <c r="AL17" s="176" t="s">
        <v>6</v>
      </c>
    </row>
    <row r="18" spans="1:38" ht="38.25" x14ac:dyDescent="0.2">
      <c r="A18" s="181" t="s">
        <v>57</v>
      </c>
      <c r="B18" s="181" t="s">
        <v>70</v>
      </c>
      <c r="C18" s="88" t="s">
        <v>58</v>
      </c>
      <c r="D18" s="182"/>
      <c r="E18" s="183"/>
      <c r="F18" s="178"/>
      <c r="G18" s="183"/>
      <c r="H18" s="178"/>
      <c r="I18" s="183"/>
      <c r="J18" s="178"/>
      <c r="K18" s="183"/>
      <c r="L18" s="92"/>
      <c r="M18" s="88"/>
      <c r="N18" s="182"/>
      <c r="O18" s="183"/>
      <c r="P18" s="178"/>
      <c r="Q18" s="183"/>
      <c r="R18" s="92"/>
      <c r="S18" s="88"/>
    </row>
    <row r="19" spans="1:38" ht="12.75" customHeight="1" x14ac:dyDescent="0.2">
      <c r="A19" s="310"/>
      <c r="B19" s="310"/>
      <c r="C19" s="310"/>
      <c r="D19" s="94"/>
      <c r="L19" s="31"/>
      <c r="N19" s="94"/>
      <c r="R19" s="31"/>
      <c r="T19" s="88"/>
      <c r="V19" s="26"/>
      <c r="W19" s="23"/>
      <c r="X19" s="14"/>
      <c r="Y19" s="23"/>
      <c r="Z19" s="47"/>
      <c r="AA19" s="47"/>
      <c r="AB19" s="47"/>
      <c r="AC19" s="47"/>
      <c r="AD19" s="47"/>
      <c r="AE19" s="47"/>
      <c r="AF19" s="47"/>
      <c r="AG19" s="14"/>
    </row>
    <row r="20" spans="1:38" x14ac:dyDescent="0.2">
      <c r="A20" s="310"/>
      <c r="B20" s="310"/>
      <c r="C20" s="310"/>
      <c r="D20" s="94"/>
      <c r="L20" s="31"/>
      <c r="N20" s="94"/>
      <c r="R20" s="31"/>
      <c r="X20" s="49"/>
      <c r="AB20" s="87"/>
      <c r="AD20" s="26"/>
    </row>
  </sheetData>
  <mergeCells count="2">
    <mergeCell ref="A19:C19"/>
    <mergeCell ref="A20:C20"/>
  </mergeCells>
  <phoneticPr fontId="2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S22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38.140625" style="26" hidden="1" customWidth="1"/>
    <col min="2" max="2" width="38.7109375" style="26" customWidth="1"/>
    <col min="3" max="3" width="35.710937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175" s="152" customFormat="1" x14ac:dyDescent="0.2">
      <c r="A1" s="2" t="s">
        <v>37</v>
      </c>
      <c r="B1" s="2" t="s">
        <v>38</v>
      </c>
      <c r="C1" s="2" t="s">
        <v>39</v>
      </c>
      <c r="D1" s="3"/>
      <c r="E1" s="137">
        <v>37256</v>
      </c>
      <c r="F1" s="3"/>
      <c r="G1" s="150">
        <v>37148</v>
      </c>
      <c r="H1" s="3"/>
      <c r="I1" s="150">
        <v>37099</v>
      </c>
      <c r="J1" s="3"/>
      <c r="K1" s="150">
        <v>37072</v>
      </c>
      <c r="L1" s="151"/>
      <c r="M1" s="8">
        <v>36651</v>
      </c>
      <c r="N1" s="3"/>
      <c r="O1" s="150">
        <v>36962</v>
      </c>
      <c r="P1" s="3"/>
      <c r="Q1" s="150">
        <v>36891</v>
      </c>
      <c r="R1" s="138"/>
      <c r="S1" s="8"/>
      <c r="T1" s="151"/>
      <c r="U1" s="8"/>
      <c r="V1" s="151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9" t="s">
        <v>3</v>
      </c>
      <c r="AE1" s="11">
        <v>35976</v>
      </c>
      <c r="AF1" s="9" t="s">
        <v>3</v>
      </c>
      <c r="AG1" s="11">
        <v>35884</v>
      </c>
      <c r="AH1" s="6" t="s">
        <v>3</v>
      </c>
      <c r="AI1" s="11">
        <v>35795</v>
      </c>
      <c r="AK1" s="152">
        <v>40.3399</v>
      </c>
    </row>
    <row r="2" spans="1:175" x14ac:dyDescent="0.2">
      <c r="A2" s="17" t="s">
        <v>61</v>
      </c>
      <c r="B2" s="17" t="str">
        <f>A2</f>
        <v>Bertelsmann (1)</v>
      </c>
      <c r="C2" s="17" t="str">
        <f>A2</f>
        <v>Bertelsmann (1)</v>
      </c>
      <c r="D2" s="15" t="s">
        <v>4</v>
      </c>
      <c r="E2" s="16">
        <v>2276</v>
      </c>
      <c r="F2" s="15" t="s">
        <v>4</v>
      </c>
      <c r="G2" s="34">
        <v>3607</v>
      </c>
      <c r="H2" s="15" t="s">
        <v>4</v>
      </c>
      <c r="I2" s="34">
        <v>3607</v>
      </c>
      <c r="J2" s="112"/>
      <c r="K2" s="27" t="s">
        <v>4</v>
      </c>
      <c r="L2" s="153"/>
      <c r="M2" s="33"/>
      <c r="N2" s="112"/>
      <c r="O2" s="27" t="s">
        <v>4</v>
      </c>
      <c r="P2" s="112"/>
      <c r="Q2" s="27" t="s">
        <v>4</v>
      </c>
      <c r="R2" s="153"/>
      <c r="S2" s="28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175" x14ac:dyDescent="0.2">
      <c r="A3" s="1" t="s">
        <v>5</v>
      </c>
      <c r="B3" s="14" t="str">
        <f>A3</f>
        <v>RTL Group</v>
      </c>
      <c r="C3" s="14" t="str">
        <f>A3</f>
        <v>RTL Group</v>
      </c>
      <c r="D3" s="15" t="s">
        <v>4</v>
      </c>
      <c r="E3" s="27" t="s">
        <v>4</v>
      </c>
      <c r="F3" s="15" t="s">
        <v>4</v>
      </c>
      <c r="G3" s="154" t="s">
        <v>4</v>
      </c>
      <c r="H3" s="15" t="s">
        <v>4</v>
      </c>
      <c r="I3" s="27" t="s">
        <v>4</v>
      </c>
      <c r="J3" s="43">
        <v>71.849999999999994</v>
      </c>
      <c r="K3" s="155">
        <v>3323</v>
      </c>
      <c r="L3" s="29">
        <v>134</v>
      </c>
      <c r="M3" s="30">
        <v>5365</v>
      </c>
      <c r="N3" s="43">
        <v>82</v>
      </c>
      <c r="O3" s="155">
        <v>3345</v>
      </c>
      <c r="P3" s="43">
        <v>87.5</v>
      </c>
      <c r="Q3" s="155">
        <v>3552</v>
      </c>
      <c r="R3" s="29"/>
      <c r="S3" s="30"/>
      <c r="T3" s="29"/>
      <c r="U3" s="30"/>
      <c r="V3" s="29">
        <v>48.35</v>
      </c>
      <c r="W3" s="30">
        <v>1302</v>
      </c>
      <c r="X3" s="29">
        <v>46.55</v>
      </c>
      <c r="Y3" s="30">
        <v>1242</v>
      </c>
      <c r="Z3" s="31">
        <v>37.450000000000003</v>
      </c>
      <c r="AA3" s="30">
        <v>991</v>
      </c>
      <c r="AB3" s="32" t="e">
        <f>1550/AM1</f>
        <v>#DIV/0!</v>
      </c>
      <c r="AC3" s="33" t="e">
        <f>40072/AM1</f>
        <v>#DIV/0!</v>
      </c>
      <c r="AD3" s="32" t="e">
        <f>1498/AM1</f>
        <v>#DIV/0!</v>
      </c>
      <c r="AE3" s="33" t="e">
        <f>38499/AM1</f>
        <v>#DIV/0!</v>
      </c>
      <c r="AF3" s="32" t="e">
        <f>1520/AM1</f>
        <v>#DIV/0!</v>
      </c>
      <c r="AG3" s="33" t="e">
        <f>38837/AM1</f>
        <v>#DIV/0!</v>
      </c>
      <c r="AH3" s="32" t="e">
        <f>1510/AM1</f>
        <v>#DIV/0!</v>
      </c>
      <c r="AI3" s="33" t="e">
        <f>26966/AM1</f>
        <v>#DIV/0!</v>
      </c>
      <c r="AJ3" s="29" t="e">
        <f>1510/AM1</f>
        <v>#DIV/0!</v>
      </c>
      <c r="AK3" s="33" t="e">
        <f>25184/AM1</f>
        <v>#DIV/0!</v>
      </c>
      <c r="AL3" s="1" t="s">
        <v>6</v>
      </c>
    </row>
    <row r="4" spans="1:175" s="42" customFormat="1" ht="14.25" customHeight="1" x14ac:dyDescent="0.2">
      <c r="A4" s="156" t="s">
        <v>7</v>
      </c>
      <c r="B4" s="156" t="s">
        <v>8</v>
      </c>
      <c r="C4" s="156" t="s">
        <v>9</v>
      </c>
      <c r="D4" s="15"/>
      <c r="E4" s="132" t="s">
        <v>4</v>
      </c>
      <c r="F4" s="157"/>
      <c r="G4" s="154" t="s">
        <v>4</v>
      </c>
      <c r="H4" s="157"/>
      <c r="I4" s="27" t="s">
        <v>4</v>
      </c>
      <c r="J4" s="158"/>
      <c r="K4" s="159">
        <v>316</v>
      </c>
      <c r="L4" s="36"/>
      <c r="M4" s="37">
        <v>626</v>
      </c>
      <c r="N4" s="157"/>
      <c r="O4" s="160">
        <v>360</v>
      </c>
      <c r="P4" s="158"/>
      <c r="Q4" s="159">
        <v>384</v>
      </c>
      <c r="R4" s="38"/>
      <c r="S4" s="39"/>
      <c r="T4" s="38"/>
      <c r="U4" s="39"/>
      <c r="V4" s="38"/>
      <c r="W4" s="39"/>
      <c r="X4" s="38"/>
      <c r="Y4" s="39"/>
      <c r="Z4" s="40"/>
      <c r="AA4" s="39"/>
      <c r="AB4" s="38"/>
      <c r="AC4" s="41"/>
      <c r="AD4" s="38"/>
      <c r="AE4" s="41"/>
      <c r="AF4" s="38"/>
      <c r="AG4" s="41"/>
      <c r="AH4" s="38"/>
      <c r="AI4" s="41"/>
      <c r="AJ4" s="38"/>
      <c r="AK4" s="41"/>
      <c r="AL4" s="41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</row>
    <row r="5" spans="1:175" s="42" customFormat="1" ht="25.5" customHeight="1" x14ac:dyDescent="0.2">
      <c r="A5" s="156" t="s">
        <v>10</v>
      </c>
      <c r="B5" s="156" t="s">
        <v>11</v>
      </c>
      <c r="C5" s="156" t="s">
        <v>12</v>
      </c>
      <c r="D5" s="15"/>
      <c r="E5" s="132"/>
      <c r="F5" s="157"/>
      <c r="G5" s="160"/>
      <c r="H5" s="157"/>
      <c r="I5" s="160"/>
      <c r="J5" s="158"/>
      <c r="K5" s="159"/>
      <c r="L5" s="36"/>
      <c r="M5" s="37"/>
      <c r="N5" s="157"/>
      <c r="O5" s="160"/>
      <c r="P5" s="158"/>
      <c r="Q5" s="159"/>
      <c r="R5" s="38"/>
      <c r="S5" s="39"/>
      <c r="T5" s="38"/>
      <c r="U5" s="39"/>
      <c r="V5" s="38"/>
      <c r="W5" s="39"/>
      <c r="X5" s="38"/>
      <c r="Y5" s="39"/>
      <c r="Z5" s="40"/>
      <c r="AA5" s="39"/>
      <c r="AB5" s="38"/>
      <c r="AC5" s="41"/>
      <c r="AD5" s="38"/>
      <c r="AE5" s="41"/>
      <c r="AF5" s="38"/>
      <c r="AG5" s="41"/>
      <c r="AH5" s="38"/>
      <c r="AI5" s="41"/>
      <c r="AJ5" s="38"/>
      <c r="AK5" s="41"/>
      <c r="AL5" s="41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</row>
    <row r="6" spans="1:175" x14ac:dyDescent="0.2">
      <c r="A6" s="14" t="s">
        <v>13</v>
      </c>
      <c r="B6" s="14" t="str">
        <f>A6</f>
        <v>TotalFinaElf</v>
      </c>
      <c r="C6" s="14" t="str">
        <f>B6</f>
        <v>TotalFinaElf</v>
      </c>
      <c r="D6" s="43">
        <v>160.4</v>
      </c>
      <c r="E6" s="16">
        <v>3767</v>
      </c>
      <c r="F6" s="43">
        <v>148.19999999999999</v>
      </c>
      <c r="G6" s="155">
        <v>3480</v>
      </c>
      <c r="H6" s="43">
        <v>159.5</v>
      </c>
      <c r="I6" s="155">
        <v>3746</v>
      </c>
      <c r="J6" s="43">
        <v>165.4</v>
      </c>
      <c r="K6" s="155">
        <v>3884</v>
      </c>
      <c r="L6" s="29">
        <v>161.5</v>
      </c>
      <c r="M6" s="30">
        <v>3177</v>
      </c>
      <c r="N6" s="43">
        <v>150.6</v>
      </c>
      <c r="O6" s="155">
        <v>2929</v>
      </c>
      <c r="P6" s="43">
        <v>158.4</v>
      </c>
      <c r="Q6" s="155">
        <v>3080</v>
      </c>
      <c r="R6" s="29"/>
      <c r="S6" s="30"/>
      <c r="T6" s="29"/>
      <c r="U6" s="30"/>
      <c r="V6" s="29">
        <v>120.9</v>
      </c>
      <c r="W6" s="30">
        <v>2351</v>
      </c>
      <c r="X6" s="29">
        <v>125.1</v>
      </c>
      <c r="Y6" s="30">
        <v>2399</v>
      </c>
      <c r="Z6" s="44">
        <f>460.3/4.5</f>
        <v>102.28888888888889</v>
      </c>
      <c r="AA6" s="30">
        <v>1921</v>
      </c>
      <c r="AB6" s="32">
        <v>86.76</v>
      </c>
      <c r="AC6" s="33">
        <v>1590</v>
      </c>
      <c r="AD6" s="32" t="e">
        <f>12875/(#REF!*4.5)</f>
        <v>#REF!</v>
      </c>
      <c r="AE6" s="33" t="e">
        <f>52109/#REF!</f>
        <v>#REF!</v>
      </c>
      <c r="AF6" s="32" t="e">
        <f>15275/(#REF!*4.5)</f>
        <v>#REF!</v>
      </c>
      <c r="AG6" s="33" t="e">
        <f>61445/#REF!</f>
        <v>#REF!</v>
      </c>
      <c r="AH6" s="32" t="e">
        <f>13950/#REF!</f>
        <v>#REF!</v>
      </c>
      <c r="AI6" s="33" t="e">
        <f>38455/#REF!</f>
        <v>#REF!</v>
      </c>
      <c r="AJ6" s="29" t="e">
        <f>13675/#REF!</f>
        <v>#REF!</v>
      </c>
      <c r="AK6" s="33" t="e">
        <f>35072/#REF!</f>
        <v>#REF!</v>
      </c>
      <c r="AL6" s="14" t="s">
        <v>6</v>
      </c>
    </row>
    <row r="7" spans="1:175" x14ac:dyDescent="0.2">
      <c r="A7" s="14" t="s">
        <v>62</v>
      </c>
      <c r="B7" s="14" t="str">
        <f>A7</f>
        <v>Suez  (2)</v>
      </c>
      <c r="C7" s="14" t="str">
        <f>A7</f>
        <v>Suez  (2)</v>
      </c>
      <c r="D7" s="43">
        <v>34</v>
      </c>
      <c r="E7" s="16">
        <v>2464</v>
      </c>
      <c r="F7" s="43">
        <v>34.1</v>
      </c>
      <c r="G7" s="34">
        <v>2493</v>
      </c>
      <c r="H7" s="43">
        <v>37.65</v>
      </c>
      <c r="I7" s="34">
        <v>2753</v>
      </c>
      <c r="J7" s="43">
        <v>38</v>
      </c>
      <c r="K7" s="34">
        <v>2778</v>
      </c>
      <c r="L7" s="29">
        <v>180</v>
      </c>
      <c r="M7" s="33">
        <v>2433</v>
      </c>
      <c r="N7" s="43">
        <f>162.4/5</f>
        <v>32.480000000000004</v>
      </c>
      <c r="O7" s="34">
        <v>1967</v>
      </c>
      <c r="P7" s="43">
        <f>194.5/5</f>
        <v>38.9</v>
      </c>
      <c r="Q7" s="34">
        <v>2355</v>
      </c>
      <c r="R7" s="29"/>
      <c r="S7" s="33"/>
      <c r="T7" s="29"/>
      <c r="U7" s="33"/>
      <c r="V7" s="29">
        <v>159.9</v>
      </c>
      <c r="W7" s="33">
        <v>2134</v>
      </c>
      <c r="X7" s="29">
        <v>174.9</v>
      </c>
      <c r="Y7" s="33">
        <v>2278</v>
      </c>
      <c r="Z7" s="32">
        <v>173.2</v>
      </c>
      <c r="AA7" s="33">
        <v>2197</v>
      </c>
      <c r="AB7" s="32" t="e">
        <f>1148/AN1</f>
        <v>#DIV/0!</v>
      </c>
      <c r="AC7" s="33" t="e">
        <f>85728/AM1</f>
        <v>#DIV/0!</v>
      </c>
      <c r="AD7" s="32" t="e">
        <f>1029/AN1</f>
        <v>#DIV/0!</v>
      </c>
      <c r="AE7" s="33" t="e">
        <f>76396/AM1</f>
        <v>#DIV/0!</v>
      </c>
      <c r="AF7" s="32" t="e">
        <f>995/AN1</f>
        <v>#DIV/0!</v>
      </c>
      <c r="AG7" s="33" t="e">
        <f>73440/AM1</f>
        <v>#DIV/0!</v>
      </c>
      <c r="AH7" s="32" t="e">
        <f>889/AN1</f>
        <v>#DIV/0!</v>
      </c>
      <c r="AI7" s="33" t="e">
        <f>41140/AM1</f>
        <v>#DIV/0!</v>
      </c>
      <c r="AJ7" s="29" t="e">
        <f>666/AN1</f>
        <v>#DIV/0!</v>
      </c>
      <c r="AK7" s="33" t="e">
        <f>28071/AM1</f>
        <v>#DIV/0!</v>
      </c>
      <c r="AL7" s="14" t="s">
        <v>6</v>
      </c>
    </row>
    <row r="8" spans="1:175" x14ac:dyDescent="0.2">
      <c r="A8" s="14" t="s">
        <v>14</v>
      </c>
      <c r="B8" s="14" t="str">
        <f>A8</f>
        <v>Imerys</v>
      </c>
      <c r="C8" s="14" t="str">
        <f>B8</f>
        <v>Imerys</v>
      </c>
      <c r="D8" s="43">
        <v>107.8</v>
      </c>
      <c r="E8" s="16">
        <v>451</v>
      </c>
      <c r="F8" s="43">
        <v>86.1</v>
      </c>
      <c r="G8" s="155">
        <v>360</v>
      </c>
      <c r="H8" s="43">
        <v>119.4</v>
      </c>
      <c r="I8" s="155">
        <v>500</v>
      </c>
      <c r="J8" s="43">
        <v>117</v>
      </c>
      <c r="K8" s="155">
        <v>490</v>
      </c>
      <c r="L8" s="29">
        <v>130.9</v>
      </c>
      <c r="M8" s="30">
        <v>548</v>
      </c>
      <c r="N8" s="43">
        <v>121</v>
      </c>
      <c r="O8" s="155">
        <v>507</v>
      </c>
      <c r="P8" s="43">
        <v>121</v>
      </c>
      <c r="Q8" s="155">
        <v>507</v>
      </c>
      <c r="R8" s="29"/>
      <c r="S8" s="30"/>
      <c r="T8" s="29"/>
      <c r="U8" s="30"/>
      <c r="V8" s="29">
        <v>149.1</v>
      </c>
      <c r="W8" s="30">
        <v>624</v>
      </c>
      <c r="X8" s="29">
        <v>144</v>
      </c>
      <c r="Y8" s="30">
        <v>603</v>
      </c>
      <c r="Z8" s="31">
        <v>99.6</v>
      </c>
      <c r="AA8" s="30">
        <v>417</v>
      </c>
      <c r="AB8" s="32" t="e">
        <f>560/AN1</f>
        <v>#DIV/0!</v>
      </c>
      <c r="AC8" s="33" t="e">
        <f>14416/AM1</f>
        <v>#DIV/0!</v>
      </c>
      <c r="AD8" s="32" t="e">
        <f>563/AN1</f>
        <v>#DIV/0!</v>
      </c>
      <c r="AE8" s="33" t="e">
        <f>14484/AM1</f>
        <v>#DIV/0!</v>
      </c>
      <c r="AF8" s="32" t="e">
        <f>831/AN1</f>
        <v>#DIV/0!</v>
      </c>
      <c r="AG8" s="33" t="e">
        <f>19136/AM1</f>
        <v>#DIV/0!</v>
      </c>
      <c r="AH8" s="32" t="e">
        <f>818/AN1</f>
        <v>#DIV/0!</v>
      </c>
      <c r="AI8" s="33" t="e">
        <f>16662/AM1</f>
        <v>#DIV/0!</v>
      </c>
      <c r="AJ8" s="29" t="e">
        <f>748/AN1</f>
        <v>#DIV/0!</v>
      </c>
      <c r="AK8" s="33" t="e">
        <f>15243/AM1</f>
        <v>#DIV/0!</v>
      </c>
      <c r="AL8" s="14" t="s">
        <v>6</v>
      </c>
    </row>
    <row r="9" spans="1:175" x14ac:dyDescent="0.2">
      <c r="A9" s="14" t="s">
        <v>15</v>
      </c>
      <c r="B9" s="14" t="str">
        <f>A9</f>
        <v>Rhodia</v>
      </c>
      <c r="C9" s="14" t="str">
        <f>A9</f>
        <v>Rhodia</v>
      </c>
      <c r="D9" s="43">
        <v>8.98</v>
      </c>
      <c r="E9" s="16">
        <v>86</v>
      </c>
      <c r="F9" s="43">
        <v>8.4499999999999993</v>
      </c>
      <c r="G9" s="161">
        <v>81</v>
      </c>
      <c r="H9" s="43">
        <v>12.17</v>
      </c>
      <c r="I9" s="161">
        <v>139</v>
      </c>
      <c r="J9" s="43">
        <v>13</v>
      </c>
      <c r="K9" s="161">
        <v>148</v>
      </c>
      <c r="L9" s="29">
        <v>20.55</v>
      </c>
      <c r="M9" s="47">
        <v>184</v>
      </c>
      <c r="N9" s="43">
        <v>15.4</v>
      </c>
      <c r="O9" s="161">
        <v>171</v>
      </c>
      <c r="P9" s="43">
        <v>16.5</v>
      </c>
      <c r="Q9" s="161">
        <v>181</v>
      </c>
      <c r="R9" s="29"/>
      <c r="S9" s="47"/>
      <c r="T9" s="29"/>
      <c r="U9" s="47"/>
      <c r="V9" s="47"/>
      <c r="W9" s="47" t="s">
        <v>16</v>
      </c>
      <c r="X9" s="48"/>
      <c r="Y9" s="47" t="s">
        <v>16</v>
      </c>
      <c r="AA9" s="47" t="s">
        <v>16</v>
      </c>
      <c r="AB9" s="23"/>
      <c r="AC9" s="47" t="s">
        <v>16</v>
      </c>
      <c r="AD9" s="23"/>
      <c r="AE9" s="47"/>
      <c r="AF9" s="23"/>
      <c r="AG9" s="47"/>
      <c r="AH9" s="23"/>
      <c r="AI9" s="33"/>
      <c r="AJ9" s="25"/>
      <c r="AK9" s="33"/>
      <c r="AL9" s="14"/>
    </row>
    <row r="10" spans="1:175" x14ac:dyDescent="0.2">
      <c r="A10" s="14" t="s">
        <v>17</v>
      </c>
      <c r="B10" s="14" t="s">
        <v>59</v>
      </c>
      <c r="C10" s="14" t="s">
        <v>19</v>
      </c>
      <c r="D10" s="43"/>
      <c r="E10" s="16">
        <v>26</v>
      </c>
      <c r="F10" s="43"/>
      <c r="G10" s="155">
        <v>42</v>
      </c>
      <c r="H10" s="43"/>
      <c r="I10" s="155">
        <v>43</v>
      </c>
      <c r="J10" s="43"/>
      <c r="K10" s="155">
        <v>43</v>
      </c>
      <c r="L10" s="48"/>
      <c r="M10" s="30">
        <v>245</v>
      </c>
      <c r="N10" s="43"/>
      <c r="O10" s="155">
        <v>30</v>
      </c>
      <c r="P10" s="43"/>
      <c r="Q10" s="155">
        <v>296</v>
      </c>
      <c r="R10" s="29"/>
      <c r="S10" s="30"/>
      <c r="T10" s="48"/>
      <c r="U10" s="30"/>
      <c r="V10" s="48"/>
      <c r="W10" s="30">
        <v>266</v>
      </c>
      <c r="X10" s="48"/>
      <c r="Y10" s="30">
        <v>257</v>
      </c>
      <c r="AA10" s="30">
        <f>25+190</f>
        <v>215</v>
      </c>
      <c r="AB10" s="23" t="s">
        <v>3</v>
      </c>
      <c r="AC10" s="33" t="e">
        <f>7517/AM1+1</f>
        <v>#DIV/0!</v>
      </c>
      <c r="AD10" s="23" t="s">
        <v>3</v>
      </c>
      <c r="AE10" s="33" t="e">
        <f>10221/AM1</f>
        <v>#DIV/0!</v>
      </c>
      <c r="AF10" s="23" t="s">
        <v>6</v>
      </c>
      <c r="AG10" s="33" t="e">
        <f>13264/AM1</f>
        <v>#DIV/0!</v>
      </c>
      <c r="AH10" s="23" t="s">
        <v>6</v>
      </c>
      <c r="AI10" s="33" t="e">
        <f>15670/AM1+1</f>
        <v>#DIV/0!</v>
      </c>
      <c r="AJ10" s="25" t="s">
        <v>6</v>
      </c>
      <c r="AK10" s="33" t="e">
        <f>22978/AM1</f>
        <v>#DIV/0!</v>
      </c>
      <c r="AL10" s="14" t="s">
        <v>6</v>
      </c>
    </row>
    <row r="11" spans="1:175" s="53" customFormat="1" x14ac:dyDescent="0.2">
      <c r="A11" s="50" t="s">
        <v>20</v>
      </c>
      <c r="B11" s="50" t="s">
        <v>21</v>
      </c>
      <c r="C11" s="50" t="s">
        <v>22</v>
      </c>
      <c r="D11" s="43"/>
      <c r="E11" s="16">
        <v>303</v>
      </c>
      <c r="F11" s="43"/>
      <c r="G11" s="162">
        <v>279</v>
      </c>
      <c r="H11" s="43"/>
      <c r="I11" s="162">
        <v>224</v>
      </c>
      <c r="J11" s="43"/>
      <c r="K11" s="162">
        <v>188</v>
      </c>
      <c r="L11" s="52"/>
      <c r="M11" s="53">
        <v>-322</v>
      </c>
      <c r="N11" s="43"/>
      <c r="O11" s="162">
        <v>334</v>
      </c>
      <c r="P11" s="43"/>
      <c r="Q11" s="162">
        <v>46</v>
      </c>
      <c r="R11" s="29"/>
      <c r="T11" s="52"/>
      <c r="V11" s="52"/>
      <c r="W11" s="53">
        <v>392</v>
      </c>
      <c r="X11" s="52"/>
      <c r="Y11" s="53">
        <v>414</v>
      </c>
      <c r="Z11" s="54"/>
      <c r="AA11" s="53">
        <v>527</v>
      </c>
      <c r="AB11" s="55" t="s">
        <v>3</v>
      </c>
      <c r="AC11" s="55" t="e">
        <f>24308/AM1</f>
        <v>#DIV/0!</v>
      </c>
      <c r="AD11" s="55" t="s">
        <v>3</v>
      </c>
      <c r="AE11" s="55" t="e">
        <f>22554/AM1</f>
        <v>#DIV/0!</v>
      </c>
      <c r="AF11" s="55" t="s">
        <v>6</v>
      </c>
      <c r="AG11" s="55" t="e">
        <f>29104/AM1</f>
        <v>#DIV/0!</v>
      </c>
      <c r="AH11" s="55" t="s">
        <v>6</v>
      </c>
      <c r="AI11" s="55" t="e">
        <f>48989/AM1+1</f>
        <v>#DIV/0!</v>
      </c>
      <c r="AJ11" s="50" t="s">
        <v>6</v>
      </c>
      <c r="AK11" s="55" t="e">
        <f>37124/AM1+1</f>
        <v>#DIV/0!</v>
      </c>
      <c r="AL11" s="50" t="s">
        <v>6</v>
      </c>
    </row>
    <row r="12" spans="1:175" s="42" customFormat="1" ht="14.25" customHeight="1" x14ac:dyDescent="0.2">
      <c r="A12" s="156" t="s">
        <v>7</v>
      </c>
      <c r="B12" s="156" t="s">
        <v>8</v>
      </c>
      <c r="C12" s="156" t="s">
        <v>23</v>
      </c>
      <c r="D12" s="163"/>
      <c r="E12" s="132" t="s">
        <v>4</v>
      </c>
      <c r="F12" s="158"/>
      <c r="G12" s="154" t="s">
        <v>4</v>
      </c>
      <c r="H12" s="158"/>
      <c r="I12" s="154" t="s">
        <v>4</v>
      </c>
      <c r="J12" s="158"/>
      <c r="K12" s="159">
        <v>-238</v>
      </c>
      <c r="L12" s="38"/>
      <c r="M12" s="39">
        <v>-238</v>
      </c>
      <c r="N12" s="158"/>
      <c r="O12" s="159">
        <v>-238</v>
      </c>
      <c r="P12" s="158"/>
      <c r="Q12" s="159">
        <v>-238</v>
      </c>
      <c r="R12" s="38"/>
      <c r="S12" s="39"/>
      <c r="T12" s="38"/>
      <c r="U12" s="39"/>
      <c r="V12" s="38"/>
      <c r="W12" s="39"/>
      <c r="X12" s="38"/>
      <c r="Y12" s="39"/>
      <c r="Z12" s="40"/>
      <c r="AA12" s="39"/>
      <c r="AB12" s="38"/>
      <c r="AC12" s="41"/>
      <c r="AD12" s="38"/>
      <c r="AE12" s="41"/>
      <c r="AF12" s="38"/>
      <c r="AG12" s="41"/>
      <c r="AH12" s="38"/>
      <c r="AI12" s="41"/>
      <c r="AJ12" s="38"/>
      <c r="AK12" s="41"/>
      <c r="AL12" s="41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</row>
    <row r="13" spans="1:175" s="42" customFormat="1" x14ac:dyDescent="0.2">
      <c r="A13" s="156" t="s">
        <v>10</v>
      </c>
      <c r="B13" s="156" t="s">
        <v>11</v>
      </c>
      <c r="C13" s="156" t="s">
        <v>24</v>
      </c>
      <c r="D13" s="15"/>
      <c r="E13" s="132"/>
      <c r="F13" s="157"/>
      <c r="G13" s="160"/>
      <c r="H13" s="157"/>
      <c r="I13" s="160"/>
      <c r="J13" s="158"/>
      <c r="K13" s="159"/>
      <c r="L13" s="36"/>
      <c r="M13" s="37"/>
      <c r="N13" s="157"/>
      <c r="O13" s="160"/>
      <c r="P13" s="158"/>
      <c r="Q13" s="159"/>
      <c r="R13" s="38"/>
      <c r="S13" s="39"/>
      <c r="T13" s="38"/>
      <c r="U13" s="39"/>
      <c r="V13" s="38"/>
      <c r="W13" s="39"/>
      <c r="X13" s="38"/>
      <c r="Y13" s="39"/>
      <c r="Z13" s="40"/>
      <c r="AA13" s="39"/>
      <c r="AB13" s="38"/>
      <c r="AC13" s="41"/>
      <c r="AD13" s="38"/>
      <c r="AE13" s="41"/>
      <c r="AF13" s="38"/>
      <c r="AG13" s="41"/>
      <c r="AH13" s="38"/>
      <c r="AI13" s="41"/>
      <c r="AJ13" s="38"/>
      <c r="AK13" s="41"/>
      <c r="AL13" s="41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</row>
    <row r="14" spans="1:175" s="145" customFormat="1" x14ac:dyDescent="0.2">
      <c r="A14" s="56" t="s">
        <v>48</v>
      </c>
      <c r="B14" s="164" t="s">
        <v>138</v>
      </c>
      <c r="C14" s="164" t="s">
        <v>26</v>
      </c>
      <c r="D14" s="133"/>
      <c r="E14" s="58">
        <f>SUM(E2:E11)</f>
        <v>9373</v>
      </c>
      <c r="F14" s="133"/>
      <c r="G14" s="165">
        <f>SUM(G2:G11)</f>
        <v>10342</v>
      </c>
      <c r="H14" s="166"/>
      <c r="I14" s="165">
        <f>SUM(I2:I11)</f>
        <v>11012</v>
      </c>
      <c r="J14" s="166"/>
      <c r="K14" s="165">
        <f>SUM(K2:K12)-K4-K12</f>
        <v>10854</v>
      </c>
      <c r="L14" s="124">
        <f>SUM(L3:L11)</f>
        <v>626.94999999999993</v>
      </c>
      <c r="M14" s="124">
        <f>SUM(M3:M11)</f>
        <v>12256</v>
      </c>
      <c r="N14" s="166"/>
      <c r="O14" s="165">
        <f>SUM(O2:O12)-O4-O12</f>
        <v>9283</v>
      </c>
      <c r="P14" s="133"/>
      <c r="Q14" s="165">
        <f>SUM(Q2:Q12)-Q4-Q12</f>
        <v>10017</v>
      </c>
      <c r="R14" s="167"/>
      <c r="S14" s="140"/>
      <c r="T14" s="139"/>
      <c r="U14" s="140"/>
      <c r="V14" s="139"/>
      <c r="W14" s="140">
        <f>SUM(W3:W7:W13)-W12-W4</f>
        <v>7069</v>
      </c>
      <c r="X14" s="139"/>
      <c r="Y14" s="140">
        <f>SUM(Y3:Y7:Y13)-Y12-Y4</f>
        <v>7193</v>
      </c>
      <c r="Z14" s="141"/>
      <c r="AA14" s="140">
        <f>SUM(AA3:AA7:AA13)-AA12-AA4</f>
        <v>6268</v>
      </c>
      <c r="AB14" s="142" t="s">
        <v>3</v>
      </c>
      <c r="AC14" s="140" t="e">
        <f>SUM(AC3:AC7:AC13)-AC12-AC4-1</f>
        <v>#DIV/0!</v>
      </c>
      <c r="AD14" s="142" t="s">
        <v>3</v>
      </c>
      <c r="AE14" s="140" t="e">
        <f>SUM(AE7:AE11)</f>
        <v>#DIV/0!</v>
      </c>
      <c r="AF14" s="142" t="s">
        <v>6</v>
      </c>
      <c r="AG14" s="140" t="e">
        <f>SUM(AG7:AG11)</f>
        <v>#DIV/0!</v>
      </c>
      <c r="AH14" s="142" t="s">
        <v>6</v>
      </c>
      <c r="AI14" s="124" t="e">
        <f>SUM(AI7:AI11)-2</f>
        <v>#DIV/0!</v>
      </c>
      <c r="AJ14" s="143" t="s">
        <v>6</v>
      </c>
      <c r="AK14" s="124" t="e">
        <f>SUM(AK7:AK11)-1</f>
        <v>#DIV/0!</v>
      </c>
      <c r="AL14" s="144" t="s">
        <v>6</v>
      </c>
      <c r="AM14" s="145" t="e">
        <f>236182/AM1</f>
        <v>#DIV/0!</v>
      </c>
      <c r="AN14" s="145" t="e">
        <f>214263/AM1</f>
        <v>#DIV/0!</v>
      </c>
    </row>
    <row r="15" spans="1:175" s="87" customFormat="1" x14ac:dyDescent="0.2">
      <c r="A15" s="66" t="s">
        <v>49</v>
      </c>
      <c r="B15" s="66" t="s">
        <v>139</v>
      </c>
      <c r="C15" s="66" t="s">
        <v>50</v>
      </c>
      <c r="D15" s="134"/>
      <c r="E15" s="68">
        <v>67.77</v>
      </c>
      <c r="F15" s="134"/>
      <c r="G15" s="168">
        <v>74.78</v>
      </c>
      <c r="H15" s="134"/>
      <c r="I15" s="168">
        <v>79.62</v>
      </c>
      <c r="J15" s="134"/>
      <c r="K15" s="168">
        <v>78.48</v>
      </c>
      <c r="L15" s="71"/>
      <c r="M15" s="22">
        <v>476.02</v>
      </c>
      <c r="N15" s="134"/>
      <c r="O15" s="168">
        <f>379.94/5</f>
        <v>75.988</v>
      </c>
      <c r="P15" s="134"/>
      <c r="Q15" s="168">
        <v>82</v>
      </c>
      <c r="R15" s="146"/>
      <c r="S15" s="23"/>
      <c r="T15" s="146"/>
      <c r="U15" s="23"/>
      <c r="V15" s="146"/>
      <c r="W15" s="23">
        <v>289.33</v>
      </c>
      <c r="X15" s="146"/>
      <c r="Y15" s="23">
        <v>256.52999999999997</v>
      </c>
      <c r="Z15" s="49"/>
      <c r="AA15" s="23">
        <v>256.52999999999997</v>
      </c>
      <c r="AB15" s="23" t="s">
        <v>3</v>
      </c>
      <c r="AC15" s="23">
        <v>239.64</v>
      </c>
      <c r="AD15" s="23" t="s">
        <v>3</v>
      </c>
      <c r="AE15" s="23">
        <v>217.47</v>
      </c>
      <c r="AF15" s="22"/>
      <c r="AG15" s="23">
        <v>238.97</v>
      </c>
      <c r="AH15" s="23" t="s">
        <v>6</v>
      </c>
      <c r="AI15" s="22">
        <v>206.87</v>
      </c>
      <c r="AJ15" s="25" t="s">
        <v>6</v>
      </c>
      <c r="AK15" s="22">
        <v>178.36</v>
      </c>
      <c r="AL15" s="25" t="s">
        <v>6</v>
      </c>
    </row>
    <row r="16" spans="1:175" s="87" customFormat="1" x14ac:dyDescent="0.2">
      <c r="A16" s="66" t="s">
        <v>51</v>
      </c>
      <c r="B16" s="66" t="s">
        <v>52</v>
      </c>
      <c r="C16" s="66" t="s">
        <v>53</v>
      </c>
      <c r="D16" s="134"/>
      <c r="E16" s="73">
        <v>59.05</v>
      </c>
      <c r="F16" s="134"/>
      <c r="G16" s="169">
        <v>52.5</v>
      </c>
      <c r="H16" s="134"/>
      <c r="I16" s="169">
        <v>65.75</v>
      </c>
      <c r="J16" s="134"/>
      <c r="K16" s="169">
        <v>66.2</v>
      </c>
      <c r="L16" s="71"/>
      <c r="M16" s="72">
        <v>267.5</v>
      </c>
      <c r="N16" s="134"/>
      <c r="O16" s="169">
        <f>313.7/5</f>
        <v>62.739999999999995</v>
      </c>
      <c r="P16" s="134"/>
      <c r="Q16" s="169">
        <v>50.6</v>
      </c>
      <c r="R16" s="146"/>
      <c r="T16" s="146"/>
      <c r="V16" s="146"/>
      <c r="W16" s="87">
        <v>186.9</v>
      </c>
      <c r="X16" s="146"/>
      <c r="Y16" s="87">
        <v>163.9</v>
      </c>
      <c r="Z16" s="49"/>
      <c r="AA16" s="87">
        <v>167.5</v>
      </c>
      <c r="AB16" s="147" t="s">
        <v>3</v>
      </c>
      <c r="AC16" s="147">
        <v>173.53</v>
      </c>
      <c r="AD16" s="147" t="s">
        <v>3</v>
      </c>
      <c r="AE16" s="147">
        <v>160.63999999999999</v>
      </c>
      <c r="AF16" s="23" t="s">
        <v>6</v>
      </c>
      <c r="AG16" s="23">
        <v>186.17</v>
      </c>
      <c r="AH16" s="23" t="s">
        <v>6</v>
      </c>
      <c r="AI16" s="23">
        <v>160.63999999999999</v>
      </c>
      <c r="AJ16" s="25" t="s">
        <v>6</v>
      </c>
      <c r="AK16" s="23">
        <v>132.87</v>
      </c>
      <c r="AL16" s="148" t="s">
        <v>6</v>
      </c>
    </row>
    <row r="17" spans="1:38" s="173" customFormat="1" x14ac:dyDescent="0.2">
      <c r="A17" s="74" t="s">
        <v>32</v>
      </c>
      <c r="B17" s="74" t="s">
        <v>33</v>
      </c>
      <c r="C17" s="74" t="s">
        <v>34</v>
      </c>
      <c r="D17" s="170"/>
      <c r="E17" s="76" t="s">
        <v>4</v>
      </c>
      <c r="F17" s="170"/>
      <c r="G17" s="171" t="s">
        <v>4</v>
      </c>
      <c r="H17" s="170"/>
      <c r="I17" s="171" t="s">
        <v>4</v>
      </c>
      <c r="J17" s="170"/>
      <c r="K17" s="171">
        <v>0.156</v>
      </c>
      <c r="L17" s="77"/>
      <c r="M17" s="78">
        <v>0.438</v>
      </c>
      <c r="N17" s="170"/>
      <c r="O17" s="171">
        <v>0.17399999999999999</v>
      </c>
      <c r="P17" s="170"/>
      <c r="Q17" s="171">
        <v>0.38300000000000001</v>
      </c>
      <c r="R17" s="172"/>
      <c r="T17" s="172"/>
      <c r="V17" s="172"/>
      <c r="W17" s="173">
        <v>0.35399999999999998</v>
      </c>
      <c r="X17" s="172"/>
      <c r="Y17" s="173">
        <v>0.443</v>
      </c>
      <c r="Z17" s="174"/>
      <c r="AA17" s="173">
        <v>0.34699999999999998</v>
      </c>
      <c r="AB17" s="175" t="s">
        <v>3</v>
      </c>
      <c r="AC17" s="175">
        <v>0.27600000000000002</v>
      </c>
      <c r="AD17" s="175" t="s">
        <v>3</v>
      </c>
      <c r="AE17" s="175">
        <v>0.26</v>
      </c>
      <c r="AF17" s="175" t="s">
        <v>6</v>
      </c>
      <c r="AG17" s="175">
        <v>0.221</v>
      </c>
      <c r="AH17" s="175" t="s">
        <v>6</v>
      </c>
      <c r="AI17" s="175">
        <v>0.224</v>
      </c>
      <c r="AJ17" s="176" t="s">
        <v>6</v>
      </c>
      <c r="AK17" s="175">
        <v>0.255</v>
      </c>
      <c r="AL17" s="176" t="s">
        <v>6</v>
      </c>
    </row>
    <row r="18" spans="1:38" x14ac:dyDescent="0.2">
      <c r="A18" s="64" t="s">
        <v>63</v>
      </c>
      <c r="B18" s="64" t="s">
        <v>65</v>
      </c>
      <c r="C18" s="64" t="s">
        <v>66</v>
      </c>
      <c r="D18" s="136"/>
      <c r="E18" s="135">
        <v>138300053</v>
      </c>
      <c r="F18" s="136"/>
      <c r="G18" s="177">
        <v>138300053</v>
      </c>
      <c r="H18" s="136"/>
      <c r="I18" s="177">
        <v>138300053</v>
      </c>
      <c r="J18" s="136"/>
      <c r="K18" s="177">
        <v>138300053</v>
      </c>
      <c r="L18" s="61"/>
      <c r="M18" s="19">
        <v>24432025</v>
      </c>
      <c r="N18" s="136"/>
      <c r="O18" s="177">
        <v>122160125</v>
      </c>
      <c r="P18" s="136"/>
      <c r="Q18" s="177">
        <v>122160125</v>
      </c>
      <c r="R18" s="29"/>
      <c r="S18" s="33"/>
      <c r="T18" s="48"/>
      <c r="U18" s="33"/>
      <c r="V18" s="48"/>
      <c r="W18" s="33">
        <v>24432025</v>
      </c>
      <c r="X18" s="48"/>
      <c r="Y18" s="33">
        <v>24432025</v>
      </c>
      <c r="AA18" s="33">
        <v>24432025</v>
      </c>
      <c r="AB18" s="23" t="s">
        <v>3</v>
      </c>
      <c r="AC18" s="33">
        <v>24432025</v>
      </c>
      <c r="AD18" s="23" t="s">
        <v>3</v>
      </c>
      <c r="AE18" s="33">
        <v>24458667</v>
      </c>
      <c r="AF18" s="23" t="s">
        <v>6</v>
      </c>
      <c r="AG18" s="33">
        <v>24402157</v>
      </c>
      <c r="AH18" s="23" t="s">
        <v>6</v>
      </c>
      <c r="AI18" s="33">
        <v>25783578</v>
      </c>
      <c r="AJ18" s="25" t="s">
        <v>6</v>
      </c>
      <c r="AK18" s="33">
        <v>25783578</v>
      </c>
      <c r="AL18" s="14" t="s">
        <v>6</v>
      </c>
    </row>
    <row r="19" spans="1:38" x14ac:dyDescent="0.2">
      <c r="D19" s="178"/>
      <c r="E19" s="179"/>
      <c r="F19" s="178"/>
      <c r="G19" s="179"/>
      <c r="H19" s="178"/>
      <c r="I19" s="179"/>
      <c r="J19" s="178"/>
      <c r="K19" s="179"/>
      <c r="L19" s="93"/>
      <c r="M19" s="180"/>
      <c r="N19" s="178"/>
      <c r="O19" s="179"/>
      <c r="P19" s="178"/>
      <c r="Q19" s="179"/>
      <c r="R19" s="92"/>
      <c r="S19" s="180"/>
    </row>
    <row r="20" spans="1:38" ht="38.25" x14ac:dyDescent="0.2">
      <c r="A20" s="181" t="s">
        <v>64</v>
      </c>
      <c r="B20" s="181" t="s">
        <v>72</v>
      </c>
      <c r="C20" s="88" t="s">
        <v>67</v>
      </c>
      <c r="D20" s="182"/>
      <c r="E20" s="183"/>
      <c r="F20" s="178"/>
      <c r="G20" s="183"/>
      <c r="H20" s="178"/>
      <c r="I20" s="183"/>
      <c r="J20" s="178"/>
      <c r="K20" s="183"/>
      <c r="L20" s="92"/>
      <c r="M20" s="88"/>
      <c r="N20" s="182"/>
      <c r="O20" s="183"/>
      <c r="P20" s="178"/>
      <c r="Q20" s="183"/>
      <c r="R20" s="92"/>
      <c r="S20" s="88"/>
      <c r="X20" s="49"/>
      <c r="AB20" s="87"/>
      <c r="AD20" s="26"/>
    </row>
    <row r="21" spans="1:38" ht="25.5" x14ac:dyDescent="0.2">
      <c r="A21" s="181" t="s">
        <v>35</v>
      </c>
      <c r="B21" s="181" t="s">
        <v>36</v>
      </c>
      <c r="C21" s="181" t="s">
        <v>71</v>
      </c>
      <c r="D21" s="94"/>
      <c r="L21" s="31"/>
      <c r="N21" s="94"/>
      <c r="R21" s="31"/>
      <c r="T21" s="88"/>
      <c r="V21" s="26"/>
      <c r="W21" s="23"/>
      <c r="X21" s="14"/>
      <c r="Y21" s="23"/>
      <c r="Z21" s="47"/>
      <c r="AA21" s="47"/>
      <c r="AB21" s="47"/>
      <c r="AC21" s="47"/>
      <c r="AD21" s="47"/>
      <c r="AE21" s="47"/>
      <c r="AF21" s="47"/>
      <c r="AG21" s="14"/>
    </row>
    <row r="22" spans="1:38" x14ac:dyDescent="0.2">
      <c r="C22" s="88"/>
      <c r="D22" s="182"/>
      <c r="E22" s="183"/>
      <c r="F22" s="178"/>
      <c r="G22" s="183"/>
      <c r="H22" s="178"/>
      <c r="I22" s="183"/>
      <c r="J22" s="178"/>
      <c r="K22" s="183"/>
      <c r="L22" s="92"/>
      <c r="M22" s="88"/>
      <c r="N22" s="182"/>
      <c r="O22" s="183"/>
      <c r="P22" s="178"/>
      <c r="Q22" s="183"/>
      <c r="R22" s="92"/>
      <c r="S22" s="88"/>
      <c r="X22" s="49"/>
      <c r="AB22" s="87"/>
      <c r="AD22" s="26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14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1.85546875" style="26" hidden="1" customWidth="1"/>
    <col min="2" max="2" width="26" style="26" customWidth="1"/>
    <col min="3" max="3" width="22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40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37621</v>
      </c>
      <c r="F1" s="3"/>
      <c r="G1" s="137">
        <v>37501</v>
      </c>
      <c r="H1" s="3"/>
      <c r="I1" s="137">
        <v>37437</v>
      </c>
      <c r="J1" s="3"/>
      <c r="K1" s="137">
        <v>37389</v>
      </c>
      <c r="L1" s="138"/>
      <c r="M1" s="5">
        <v>37337</v>
      </c>
      <c r="N1" s="3"/>
      <c r="O1" s="137">
        <v>37337</v>
      </c>
      <c r="P1" s="3"/>
      <c r="Q1" s="137">
        <v>37256</v>
      </c>
      <c r="R1" s="2"/>
      <c r="S1" s="2"/>
      <c r="T1" s="7"/>
      <c r="U1" s="8"/>
      <c r="V1" s="7"/>
      <c r="W1" s="8">
        <v>36420</v>
      </c>
      <c r="X1" s="7"/>
      <c r="Y1" s="8">
        <v>36341</v>
      </c>
      <c r="Z1" s="8"/>
      <c r="AA1" s="8">
        <v>36231</v>
      </c>
      <c r="AB1" s="8"/>
      <c r="AC1" s="8">
        <v>36160</v>
      </c>
      <c r="AD1" s="9"/>
      <c r="AE1" s="8">
        <v>36052</v>
      </c>
      <c r="AF1" s="10" t="s">
        <v>3</v>
      </c>
      <c r="AG1" s="11">
        <v>35976</v>
      </c>
      <c r="AH1" s="10" t="s">
        <v>3</v>
      </c>
      <c r="AI1" s="11">
        <v>35884</v>
      </c>
      <c r="AJ1" s="12" t="s">
        <v>3</v>
      </c>
      <c r="AK1" s="11">
        <v>35795</v>
      </c>
      <c r="AM1" s="13">
        <v>40.3399</v>
      </c>
      <c r="AN1" s="13">
        <v>6.5595699999999999</v>
      </c>
    </row>
    <row r="2" spans="1:40" x14ac:dyDescent="0.2">
      <c r="A2" s="14" t="s">
        <v>61</v>
      </c>
      <c r="B2" s="14" t="str">
        <f>A2</f>
        <v>Bertelsmann (1)</v>
      </c>
      <c r="C2" s="14" t="str">
        <f>A2</f>
        <v>Bertelsmann (1)</v>
      </c>
      <c r="D2" s="15" t="s">
        <v>4</v>
      </c>
      <c r="E2" s="16">
        <v>1678</v>
      </c>
      <c r="F2" s="15" t="s">
        <v>4</v>
      </c>
      <c r="G2" s="16">
        <v>1908</v>
      </c>
      <c r="H2" s="15" t="s">
        <v>4</v>
      </c>
      <c r="I2" s="16">
        <v>2144</v>
      </c>
      <c r="J2" s="15" t="s">
        <v>4</v>
      </c>
      <c r="K2" s="16">
        <v>2219</v>
      </c>
      <c r="L2" s="32" t="s">
        <v>4</v>
      </c>
      <c r="M2" s="17">
        <v>2276</v>
      </c>
      <c r="N2" s="15" t="s">
        <v>4</v>
      </c>
      <c r="O2" s="16">
        <v>2276</v>
      </c>
      <c r="P2" s="15" t="s">
        <v>4</v>
      </c>
      <c r="Q2" s="16">
        <v>2276</v>
      </c>
      <c r="R2" s="20"/>
      <c r="S2" s="21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40" x14ac:dyDescent="0.2">
      <c r="A3" s="14" t="s">
        <v>13</v>
      </c>
      <c r="B3" s="14" t="str">
        <f>A3</f>
        <v>TotalFinaElf</v>
      </c>
      <c r="C3" s="14" t="str">
        <f>A3</f>
        <v>TotalFinaElf</v>
      </c>
      <c r="D3" s="43">
        <v>136.1</v>
      </c>
      <c r="E3" s="16">
        <v>3196</v>
      </c>
      <c r="F3" s="43">
        <v>141</v>
      </c>
      <c r="G3" s="16">
        <v>3311</v>
      </c>
      <c r="H3" s="43">
        <v>164.4</v>
      </c>
      <c r="I3" s="16">
        <v>3861</v>
      </c>
      <c r="J3" s="43">
        <v>168.6</v>
      </c>
      <c r="K3" s="16">
        <v>3960</v>
      </c>
      <c r="L3" s="29">
        <v>171.4</v>
      </c>
      <c r="M3" s="17">
        <v>4025</v>
      </c>
      <c r="N3" s="43">
        <v>171.4</v>
      </c>
      <c r="O3" s="16">
        <v>4025</v>
      </c>
      <c r="P3" s="43">
        <v>160.4</v>
      </c>
      <c r="Q3" s="16">
        <v>3767</v>
      </c>
      <c r="R3" s="29"/>
      <c r="S3" s="30"/>
      <c r="T3" s="29"/>
      <c r="U3" s="30"/>
      <c r="V3" s="29">
        <v>120.9</v>
      </c>
      <c r="W3" s="30">
        <v>2351</v>
      </c>
      <c r="X3" s="29">
        <v>125.1</v>
      </c>
      <c r="Y3" s="30">
        <v>2399</v>
      </c>
      <c r="Z3" s="44">
        <f>460.3/4.5</f>
        <v>102.28888888888889</v>
      </c>
      <c r="AA3" s="30">
        <v>1921</v>
      </c>
      <c r="AB3" s="32">
        <v>86.76</v>
      </c>
      <c r="AC3" s="33">
        <v>1590</v>
      </c>
      <c r="AD3" s="32" t="e">
        <f>12875/(#REF!*4.5)</f>
        <v>#REF!</v>
      </c>
      <c r="AE3" s="33" t="e">
        <f>52109/#REF!</f>
        <v>#REF!</v>
      </c>
      <c r="AF3" s="32" t="e">
        <f>15275/(#REF!*4.5)</f>
        <v>#REF!</v>
      </c>
      <c r="AG3" s="33" t="e">
        <f>61445/#REF!</f>
        <v>#REF!</v>
      </c>
      <c r="AH3" s="32" t="e">
        <f>13950/#REF!</f>
        <v>#REF!</v>
      </c>
      <c r="AI3" s="33" t="e">
        <f>38455/#REF!</f>
        <v>#REF!</v>
      </c>
      <c r="AJ3" s="29" t="e">
        <f>13675/#REF!</f>
        <v>#REF!</v>
      </c>
      <c r="AK3" s="33" t="e">
        <f>35072/#REF!</f>
        <v>#REF!</v>
      </c>
      <c r="AL3" s="14" t="s">
        <v>6</v>
      </c>
    </row>
    <row r="4" spans="1:40" x14ac:dyDescent="0.2">
      <c r="A4" s="14" t="s">
        <v>73</v>
      </c>
      <c r="B4" s="14" t="str">
        <f>A4</f>
        <v xml:space="preserve">Suez </v>
      </c>
      <c r="C4" s="14" t="str">
        <f>A4</f>
        <v xml:space="preserve">Suez </v>
      </c>
      <c r="D4" s="43">
        <v>16.54</v>
      </c>
      <c r="E4" s="16">
        <v>1198</v>
      </c>
      <c r="F4" s="43">
        <v>22.26</v>
      </c>
      <c r="G4" s="16">
        <v>1613</v>
      </c>
      <c r="H4" s="43">
        <v>27</v>
      </c>
      <c r="I4" s="16">
        <v>1956</v>
      </c>
      <c r="J4" s="43">
        <v>32.17</v>
      </c>
      <c r="K4" s="16">
        <v>2331</v>
      </c>
      <c r="L4" s="29">
        <v>31.73</v>
      </c>
      <c r="M4" s="17">
        <v>2299</v>
      </c>
      <c r="N4" s="43">
        <v>31.73</v>
      </c>
      <c r="O4" s="16">
        <v>2299</v>
      </c>
      <c r="P4" s="43">
        <v>34</v>
      </c>
      <c r="Q4" s="16">
        <v>2464</v>
      </c>
      <c r="R4" s="29"/>
      <c r="S4" s="33"/>
      <c r="T4" s="29"/>
      <c r="U4" s="33"/>
      <c r="V4" s="29">
        <v>159.9</v>
      </c>
      <c r="W4" s="33">
        <v>2134</v>
      </c>
      <c r="X4" s="29">
        <v>174.9</v>
      </c>
      <c r="Y4" s="33">
        <v>2278</v>
      </c>
      <c r="Z4" s="32">
        <v>173.2</v>
      </c>
      <c r="AA4" s="33">
        <v>2197</v>
      </c>
      <c r="AB4" s="32">
        <f>1148/AN1</f>
        <v>175.01147178854711</v>
      </c>
      <c r="AC4" s="33">
        <f>85728/AM1</f>
        <v>2125.1416091760266</v>
      </c>
      <c r="AD4" s="32">
        <f>1029/AN1</f>
        <v>156.87003873729529</v>
      </c>
      <c r="AE4" s="33">
        <f>76396/AM1</f>
        <v>1893.8073718576397</v>
      </c>
      <c r="AF4" s="32">
        <f>995/AN1</f>
        <v>151.68677215122332</v>
      </c>
      <c r="AG4" s="33">
        <f>73440/AM1</f>
        <v>1820.5300459346702</v>
      </c>
      <c r="AH4" s="32">
        <f>889/AN1</f>
        <v>135.52717632405782</v>
      </c>
      <c r="AI4" s="33">
        <f>41140/AM1</f>
        <v>1019.8339609171069</v>
      </c>
      <c r="AJ4" s="29">
        <f>666/AN1</f>
        <v>101.53104548011531</v>
      </c>
      <c r="AK4" s="33">
        <f>28071/AM1</f>
        <v>695.86191339096035</v>
      </c>
      <c r="AL4" s="14" t="s">
        <v>6</v>
      </c>
    </row>
    <row r="5" spans="1:40" x14ac:dyDescent="0.2">
      <c r="A5" s="14" t="s">
        <v>14</v>
      </c>
      <c r="B5" s="14" t="str">
        <f>A5</f>
        <v>Imerys</v>
      </c>
      <c r="C5" s="14" t="str">
        <f>A5</f>
        <v>Imerys</v>
      </c>
      <c r="D5" s="43">
        <v>120.4</v>
      </c>
      <c r="E5" s="16">
        <v>504</v>
      </c>
      <c r="F5" s="43">
        <v>130.5</v>
      </c>
      <c r="G5" s="16">
        <v>546</v>
      </c>
      <c r="H5" s="43">
        <v>129.5</v>
      </c>
      <c r="I5" s="16">
        <v>542</v>
      </c>
      <c r="J5" s="43">
        <v>133</v>
      </c>
      <c r="K5" s="16">
        <v>557</v>
      </c>
      <c r="L5" s="29">
        <v>125</v>
      </c>
      <c r="M5" s="17">
        <v>523</v>
      </c>
      <c r="N5" s="43">
        <v>125</v>
      </c>
      <c r="O5" s="16">
        <v>523</v>
      </c>
      <c r="P5" s="43">
        <v>107.8</v>
      </c>
      <c r="Q5" s="16">
        <v>451</v>
      </c>
      <c r="R5" s="29"/>
      <c r="S5" s="30"/>
      <c r="T5" s="29"/>
      <c r="U5" s="30"/>
      <c r="V5" s="29">
        <v>149.1</v>
      </c>
      <c r="W5" s="30">
        <v>624</v>
      </c>
      <c r="X5" s="29">
        <v>144</v>
      </c>
      <c r="Y5" s="30">
        <v>603</v>
      </c>
      <c r="Z5" s="31">
        <v>99.6</v>
      </c>
      <c r="AA5" s="30">
        <v>417</v>
      </c>
      <c r="AB5" s="32">
        <f>560/AN1</f>
        <v>85.371449652949821</v>
      </c>
      <c r="AC5" s="33">
        <f>14416/AM1</f>
        <v>357.36330531310193</v>
      </c>
      <c r="AD5" s="32">
        <f>563/AN1</f>
        <v>85.828796704662039</v>
      </c>
      <c r="AE5" s="33">
        <f>14484/AM1</f>
        <v>359.04898128155992</v>
      </c>
      <c r="AF5" s="32">
        <f>831/AN1</f>
        <v>126.68513332428803</v>
      </c>
      <c r="AG5" s="33">
        <f>19136/AM1</f>
        <v>474.3690490060709</v>
      </c>
      <c r="AH5" s="32">
        <f>818/AN1</f>
        <v>124.7032961002017</v>
      </c>
      <c r="AI5" s="33">
        <f>16662/AM1</f>
        <v>413.04019097717151</v>
      </c>
      <c r="AJ5" s="29">
        <f>748/AN1</f>
        <v>114.03186489358296</v>
      </c>
      <c r="AK5" s="33">
        <f>15243/AM1</f>
        <v>377.8640998118488</v>
      </c>
      <c r="AL5" s="14" t="s">
        <v>6</v>
      </c>
    </row>
    <row r="6" spans="1:40" x14ac:dyDescent="0.2">
      <c r="A6" s="14" t="s">
        <v>15</v>
      </c>
      <c r="B6" s="14" t="str">
        <f>A6</f>
        <v>Rhodia</v>
      </c>
      <c r="C6" s="14" t="str">
        <f>A6</f>
        <v>Rhodia</v>
      </c>
      <c r="D6" s="43">
        <v>7.89</v>
      </c>
      <c r="E6" s="16">
        <v>75</v>
      </c>
      <c r="F6" s="43">
        <v>9</v>
      </c>
      <c r="G6" s="16">
        <v>86</v>
      </c>
      <c r="H6" s="43">
        <v>8.7100000000000009</v>
      </c>
      <c r="I6" s="16">
        <v>83</v>
      </c>
      <c r="J6" s="43">
        <v>12.05</v>
      </c>
      <c r="K6" s="16">
        <v>115</v>
      </c>
      <c r="L6" s="29">
        <v>11.33</v>
      </c>
      <c r="M6" s="17">
        <v>108</v>
      </c>
      <c r="N6" s="43">
        <v>11.33</v>
      </c>
      <c r="O6" s="16">
        <v>108</v>
      </c>
      <c r="P6" s="43">
        <v>8.98</v>
      </c>
      <c r="Q6" s="16">
        <v>86</v>
      </c>
      <c r="R6" s="29"/>
      <c r="S6" s="47"/>
      <c r="T6" s="29"/>
      <c r="U6" s="47"/>
      <c r="V6" s="47"/>
      <c r="W6" s="47" t="s">
        <v>16</v>
      </c>
      <c r="X6" s="48"/>
      <c r="Y6" s="47" t="s">
        <v>16</v>
      </c>
      <c r="AA6" s="47" t="s">
        <v>16</v>
      </c>
      <c r="AB6" s="23"/>
      <c r="AC6" s="47" t="s">
        <v>16</v>
      </c>
      <c r="AD6" s="23"/>
      <c r="AE6" s="47"/>
      <c r="AF6" s="23"/>
      <c r="AG6" s="47"/>
      <c r="AH6" s="23"/>
      <c r="AI6" s="33"/>
      <c r="AJ6" s="25"/>
      <c r="AK6" s="33"/>
      <c r="AL6" s="14"/>
    </row>
    <row r="7" spans="1:40" x14ac:dyDescent="0.2">
      <c r="A7" s="14" t="s">
        <v>17</v>
      </c>
      <c r="B7" s="14" t="s">
        <v>18</v>
      </c>
      <c r="C7" s="14" t="s">
        <v>19</v>
      </c>
      <c r="D7" s="43"/>
      <c r="E7" s="16">
        <v>35</v>
      </c>
      <c r="F7" s="43"/>
      <c r="G7" s="16">
        <v>22</v>
      </c>
      <c r="H7" s="43"/>
      <c r="I7" s="16">
        <v>24</v>
      </c>
      <c r="J7" s="43"/>
      <c r="K7" s="16">
        <v>25</v>
      </c>
      <c r="L7" s="29"/>
      <c r="M7" s="17">
        <v>22</v>
      </c>
      <c r="N7" s="43"/>
      <c r="O7" s="16">
        <v>22</v>
      </c>
      <c r="P7" s="43"/>
      <c r="Q7" s="16">
        <v>26</v>
      </c>
      <c r="R7" s="48"/>
      <c r="S7" s="30"/>
      <c r="T7" s="48"/>
      <c r="U7" s="30"/>
      <c r="V7" s="48"/>
      <c r="W7" s="30">
        <v>266</v>
      </c>
      <c r="X7" s="48"/>
      <c r="Y7" s="30">
        <v>257</v>
      </c>
      <c r="AA7" s="30">
        <f>25+190</f>
        <v>215</v>
      </c>
      <c r="AB7" s="23" t="s">
        <v>3</v>
      </c>
      <c r="AC7" s="33">
        <f>7517/AM1+1</f>
        <v>187.34156257204407</v>
      </c>
      <c r="AD7" s="23" t="s">
        <v>3</v>
      </c>
      <c r="AE7" s="33">
        <f>10221/AM1</f>
        <v>253.37197167072799</v>
      </c>
      <c r="AF7" s="23" t="s">
        <v>6</v>
      </c>
      <c r="AG7" s="33">
        <f>13264/AM1</f>
        <v>328.80597125922475</v>
      </c>
      <c r="AH7" s="23" t="s">
        <v>6</v>
      </c>
      <c r="AI7" s="33">
        <f>15670/AM1+1</f>
        <v>389.44915331966615</v>
      </c>
      <c r="AJ7" s="25" t="s">
        <v>6</v>
      </c>
      <c r="AK7" s="33">
        <f>22978/AM1</f>
        <v>569.60974122394953</v>
      </c>
      <c r="AL7" s="14" t="s">
        <v>6</v>
      </c>
    </row>
    <row r="8" spans="1:40" s="53" customFormat="1" x14ac:dyDescent="0.2">
      <c r="A8" s="50" t="s">
        <v>20</v>
      </c>
      <c r="B8" s="50" t="s">
        <v>21</v>
      </c>
      <c r="C8" s="50" t="s">
        <v>22</v>
      </c>
      <c r="D8" s="43"/>
      <c r="E8" s="16">
        <v>354</v>
      </c>
      <c r="F8" s="43"/>
      <c r="G8" s="16">
        <v>395</v>
      </c>
      <c r="H8" s="43"/>
      <c r="I8" s="16">
        <v>427</v>
      </c>
      <c r="J8" s="43"/>
      <c r="K8" s="16">
        <v>338</v>
      </c>
      <c r="L8" s="29"/>
      <c r="M8" s="17">
        <v>301</v>
      </c>
      <c r="N8" s="43"/>
      <c r="O8" s="16">
        <v>301</v>
      </c>
      <c r="P8" s="43"/>
      <c r="Q8" s="16">
        <v>303</v>
      </c>
      <c r="R8" s="52"/>
      <c r="T8" s="52"/>
      <c r="V8" s="52"/>
      <c r="W8" s="53">
        <v>392</v>
      </c>
      <c r="X8" s="52"/>
      <c r="Y8" s="53">
        <v>414</v>
      </c>
      <c r="Z8" s="54"/>
      <c r="AA8" s="53">
        <v>527</v>
      </c>
      <c r="AB8" s="55" t="s">
        <v>3</v>
      </c>
      <c r="AC8" s="55">
        <f>24308/AM1</f>
        <v>602.57958001879035</v>
      </c>
      <c r="AD8" s="55" t="s">
        <v>3</v>
      </c>
      <c r="AE8" s="55">
        <f>22554/AM1</f>
        <v>559.09905577356415</v>
      </c>
      <c r="AF8" s="55" t="s">
        <v>6</v>
      </c>
      <c r="AG8" s="55">
        <f>29104/AM1</f>
        <v>721.46931450003592</v>
      </c>
      <c r="AH8" s="55" t="s">
        <v>6</v>
      </c>
      <c r="AI8" s="55">
        <f>48989/AM1+1</f>
        <v>1215.4055885116225</v>
      </c>
      <c r="AJ8" s="50" t="s">
        <v>6</v>
      </c>
      <c r="AK8" s="55">
        <f>37124/AM1+1</f>
        <v>921.27992136817397</v>
      </c>
      <c r="AL8" s="50" t="s">
        <v>6</v>
      </c>
    </row>
    <row r="9" spans="1:40" s="129" customFormat="1" x14ac:dyDescent="0.2">
      <c r="A9" s="56" t="s">
        <v>25</v>
      </c>
      <c r="B9" s="56" t="s">
        <v>135</v>
      </c>
      <c r="C9" s="56" t="s">
        <v>26</v>
      </c>
      <c r="D9" s="133"/>
      <c r="E9" s="58">
        <f>SUM(E2:E8)</f>
        <v>7040</v>
      </c>
      <c r="F9" s="133"/>
      <c r="G9" s="58">
        <f>SUM(G2:G8)</f>
        <v>7881</v>
      </c>
      <c r="H9" s="133"/>
      <c r="I9" s="58">
        <f>SUM(I2:I8)</f>
        <v>9037</v>
      </c>
      <c r="J9" s="133"/>
      <c r="K9" s="58">
        <f>SUM(K2:K8)</f>
        <v>9545</v>
      </c>
      <c r="L9" s="123"/>
      <c r="M9" s="122">
        <f>SUM(M2:M8)</f>
        <v>9554</v>
      </c>
      <c r="N9" s="133"/>
      <c r="O9" s="58">
        <f>SUM(O2:O8)</f>
        <v>9554</v>
      </c>
      <c r="P9" s="133"/>
      <c r="Q9" s="58">
        <f>SUM(Q2:Q8)</f>
        <v>9373</v>
      </c>
      <c r="R9" s="125"/>
      <c r="S9" s="124"/>
      <c r="T9" s="125"/>
      <c r="U9" s="124"/>
      <c r="V9" s="125"/>
      <c r="W9" s="124" t="e">
        <f>SUM(W3:W4:#REF!)-#REF!-#REF!</f>
        <v>#REF!</v>
      </c>
      <c r="X9" s="125"/>
      <c r="Y9" s="124" t="e">
        <f>SUM(Y3:Y4:#REF!)-#REF!-#REF!</f>
        <v>#REF!</v>
      </c>
      <c r="Z9" s="126"/>
      <c r="AA9" s="124" t="e">
        <f>SUM(AA3:AA4:#REF!)-#REF!-#REF!</f>
        <v>#REF!</v>
      </c>
      <c r="AB9" s="127" t="s">
        <v>3</v>
      </c>
      <c r="AC9" s="124" t="e">
        <f>SUM(AC3:AC4:#REF!)-#REF!-#REF!-1</f>
        <v>#REF!</v>
      </c>
      <c r="AD9" s="127" t="s">
        <v>3</v>
      </c>
      <c r="AE9" s="124">
        <f>SUM(AE4:AE8)</f>
        <v>3065.3273805834915</v>
      </c>
      <c r="AF9" s="127" t="s">
        <v>6</v>
      </c>
      <c r="AG9" s="124">
        <f>SUM(AG4:AG8)</f>
        <v>3345.1743807000021</v>
      </c>
      <c r="AH9" s="127" t="s">
        <v>6</v>
      </c>
      <c r="AI9" s="124">
        <f>SUM(AI4:AI8)-2</f>
        <v>3035.7288937255671</v>
      </c>
      <c r="AJ9" s="128" t="s">
        <v>6</v>
      </c>
      <c r="AK9" s="124">
        <f>SUM(AK4:AK8)-1</f>
        <v>2563.6156757949329</v>
      </c>
      <c r="AL9" s="56" t="s">
        <v>6</v>
      </c>
      <c r="AM9" s="129">
        <f>236182/AM1</f>
        <v>5854.7988467993227</v>
      </c>
      <c r="AN9" s="129">
        <f>214263/AM1</f>
        <v>5311.4410298488592</v>
      </c>
    </row>
    <row r="10" spans="1:40" s="72" customFormat="1" ht="25.5" x14ac:dyDescent="0.2">
      <c r="A10" s="66" t="s">
        <v>27</v>
      </c>
      <c r="B10" s="66" t="s">
        <v>137</v>
      </c>
      <c r="C10" s="66" t="s">
        <v>28</v>
      </c>
      <c r="D10" s="134"/>
      <c r="E10" s="68">
        <v>50.91</v>
      </c>
      <c r="F10" s="134"/>
      <c r="G10" s="68">
        <v>56.99</v>
      </c>
      <c r="H10" s="134"/>
      <c r="I10" s="68">
        <v>65.34</v>
      </c>
      <c r="J10" s="134"/>
      <c r="K10" s="68">
        <v>69.010000000000005</v>
      </c>
      <c r="L10" s="71"/>
      <c r="M10" s="69">
        <v>69.08</v>
      </c>
      <c r="N10" s="134"/>
      <c r="O10" s="68">
        <v>69.08</v>
      </c>
      <c r="P10" s="134"/>
      <c r="Q10" s="68">
        <v>67.77</v>
      </c>
      <c r="R10" s="71"/>
      <c r="S10" s="22"/>
      <c r="T10" s="71"/>
      <c r="U10" s="22"/>
      <c r="V10" s="71"/>
      <c r="W10" s="22">
        <v>289.33</v>
      </c>
      <c r="X10" s="71"/>
      <c r="Y10" s="22">
        <v>256.52999999999997</v>
      </c>
      <c r="Z10" s="62"/>
      <c r="AA10" s="22">
        <v>256.52999999999997</v>
      </c>
      <c r="AB10" s="22" t="s">
        <v>3</v>
      </c>
      <c r="AC10" s="22">
        <v>239.64</v>
      </c>
      <c r="AD10" s="22" t="s">
        <v>3</v>
      </c>
      <c r="AE10" s="22">
        <v>217.47</v>
      </c>
      <c r="AF10" s="22"/>
      <c r="AG10" s="22">
        <v>238.97</v>
      </c>
      <c r="AH10" s="22" t="s">
        <v>6</v>
      </c>
      <c r="AI10" s="22">
        <v>206.87</v>
      </c>
      <c r="AJ10" s="63" t="s">
        <v>6</v>
      </c>
      <c r="AK10" s="22">
        <v>178.36</v>
      </c>
      <c r="AL10" s="63" t="s">
        <v>6</v>
      </c>
    </row>
    <row r="11" spans="1:40" s="72" customFormat="1" x14ac:dyDescent="0.2">
      <c r="A11" s="66" t="s">
        <v>29</v>
      </c>
      <c r="B11" s="66" t="s">
        <v>30</v>
      </c>
      <c r="C11" s="66" t="s">
        <v>31</v>
      </c>
      <c r="D11" s="134"/>
      <c r="E11" s="73">
        <v>39.01</v>
      </c>
      <c r="F11" s="134"/>
      <c r="G11" s="73">
        <v>43.8</v>
      </c>
      <c r="H11" s="134"/>
      <c r="I11" s="73">
        <v>52.9</v>
      </c>
      <c r="J11" s="134"/>
      <c r="K11" s="73">
        <v>61.75</v>
      </c>
      <c r="L11" s="71"/>
      <c r="M11" s="66">
        <v>63.45</v>
      </c>
      <c r="N11" s="134"/>
      <c r="O11" s="73">
        <v>63.45</v>
      </c>
      <c r="P11" s="134"/>
      <c r="Q11" s="73">
        <v>59.05</v>
      </c>
      <c r="R11" s="71"/>
      <c r="T11" s="71"/>
      <c r="V11" s="71"/>
      <c r="W11" s="72">
        <v>186.9</v>
      </c>
      <c r="X11" s="71"/>
      <c r="Y11" s="72">
        <v>163.9</v>
      </c>
      <c r="Z11" s="62"/>
      <c r="AA11" s="72">
        <v>167.5</v>
      </c>
      <c r="AB11" s="69" t="s">
        <v>3</v>
      </c>
      <c r="AC11" s="69">
        <v>173.53</v>
      </c>
      <c r="AD11" s="69" t="s">
        <v>3</v>
      </c>
      <c r="AE11" s="69">
        <v>160.63999999999999</v>
      </c>
      <c r="AF11" s="22" t="s">
        <v>6</v>
      </c>
      <c r="AG11" s="22">
        <v>186.17</v>
      </c>
      <c r="AH11" s="22" t="s">
        <v>6</v>
      </c>
      <c r="AI11" s="22">
        <v>160.63999999999999</v>
      </c>
      <c r="AJ11" s="63" t="s">
        <v>6</v>
      </c>
      <c r="AK11" s="22">
        <v>132.87</v>
      </c>
      <c r="AL11" s="66" t="s">
        <v>6</v>
      </c>
    </row>
    <row r="12" spans="1:40" s="65" customFormat="1" x14ac:dyDescent="0.2">
      <c r="A12" s="64" t="s">
        <v>74</v>
      </c>
      <c r="B12" s="64" t="s">
        <v>75</v>
      </c>
      <c r="C12" s="64" t="s">
        <v>76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60"/>
      <c r="M12" s="59">
        <v>138300053</v>
      </c>
      <c r="N12" s="136"/>
      <c r="O12" s="135">
        <v>138300053</v>
      </c>
      <c r="P12" s="136"/>
      <c r="Q12" s="135">
        <v>138300053</v>
      </c>
      <c r="R12" s="61"/>
      <c r="S12" s="19"/>
      <c r="T12" s="61"/>
      <c r="U12" s="19"/>
      <c r="V12" s="61"/>
      <c r="W12" s="19">
        <v>24432025</v>
      </c>
      <c r="X12" s="61"/>
      <c r="Y12" s="19">
        <v>24432025</v>
      </c>
      <c r="Z12" s="62"/>
      <c r="AA12" s="19">
        <v>24432025</v>
      </c>
      <c r="AB12" s="22" t="s">
        <v>3</v>
      </c>
      <c r="AC12" s="19">
        <v>24432025</v>
      </c>
      <c r="AD12" s="22" t="s">
        <v>3</v>
      </c>
      <c r="AE12" s="19">
        <v>24458667</v>
      </c>
      <c r="AF12" s="22" t="s">
        <v>6</v>
      </c>
      <c r="AG12" s="19">
        <v>24402157</v>
      </c>
      <c r="AH12" s="22" t="s">
        <v>6</v>
      </c>
      <c r="AI12" s="19">
        <v>25783578</v>
      </c>
      <c r="AJ12" s="63" t="s">
        <v>6</v>
      </c>
      <c r="AK12" s="19">
        <v>25783578</v>
      </c>
      <c r="AL12" s="64" t="s">
        <v>6</v>
      </c>
    </row>
    <row r="14" spans="1:40" ht="12.75" customHeight="1" x14ac:dyDescent="0.2">
      <c r="B14" s="88"/>
      <c r="C14" s="89"/>
      <c r="D14" s="90"/>
      <c r="E14" s="91"/>
      <c r="F14" s="90"/>
      <c r="G14" s="91"/>
      <c r="H14" s="90"/>
      <c r="I14" s="91"/>
      <c r="J14" s="90"/>
      <c r="K14" s="149"/>
      <c r="L14" s="88"/>
      <c r="M14" s="92"/>
      <c r="N14" s="90"/>
      <c r="O14" s="91"/>
      <c r="P14" s="90"/>
      <c r="Q14" s="149"/>
      <c r="R14" s="88"/>
      <c r="S14" s="93"/>
      <c r="T14" s="88"/>
      <c r="V14" s="26"/>
      <c r="W14" s="23"/>
      <c r="X14" s="14"/>
      <c r="Y14" s="23"/>
      <c r="Z14" s="47"/>
      <c r="AA14" s="47"/>
      <c r="AB14" s="47"/>
      <c r="AC14" s="47"/>
      <c r="AD14" s="47"/>
      <c r="AE14" s="47"/>
      <c r="AF14" s="47"/>
      <c r="AG14" s="14"/>
    </row>
  </sheetData>
  <phoneticPr fontId="2" type="noConversion"/>
  <pageMargins left="0.78740157499999996" right="0.78740157499999996" top="0.984251969" bottom="0.984251969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N15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3.140625" style="26" hidden="1" customWidth="1"/>
    <col min="2" max="2" width="25.140625" style="26" customWidth="1"/>
    <col min="3" max="3" width="21.570312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40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37986</v>
      </c>
      <c r="F1" s="3"/>
      <c r="G1" s="137">
        <v>37944</v>
      </c>
      <c r="H1" s="3"/>
      <c r="I1" s="137">
        <v>37867</v>
      </c>
      <c r="J1" s="3"/>
      <c r="K1" s="137">
        <v>37747</v>
      </c>
      <c r="L1" s="138"/>
      <c r="M1" s="5">
        <v>37705</v>
      </c>
      <c r="N1" s="3"/>
      <c r="O1" s="137">
        <v>37705</v>
      </c>
      <c r="P1" s="3"/>
      <c r="Q1" s="137">
        <v>37621</v>
      </c>
      <c r="R1" s="2"/>
      <c r="S1" s="2"/>
      <c r="T1" s="7"/>
      <c r="U1" s="8"/>
      <c r="V1" s="7"/>
      <c r="W1" s="8">
        <v>36420</v>
      </c>
      <c r="X1" s="7"/>
      <c r="Y1" s="8">
        <v>36341</v>
      </c>
      <c r="Z1" s="8"/>
      <c r="AA1" s="8">
        <v>36231</v>
      </c>
      <c r="AB1" s="8"/>
      <c r="AC1" s="8">
        <v>36160</v>
      </c>
      <c r="AD1" s="9"/>
      <c r="AE1" s="8">
        <v>36052</v>
      </c>
      <c r="AF1" s="10" t="s">
        <v>3</v>
      </c>
      <c r="AG1" s="11">
        <v>35976</v>
      </c>
      <c r="AH1" s="10" t="s">
        <v>3</v>
      </c>
      <c r="AI1" s="11">
        <v>35884</v>
      </c>
      <c r="AJ1" s="12" t="s">
        <v>3</v>
      </c>
      <c r="AK1" s="11">
        <v>35795</v>
      </c>
      <c r="AM1" s="13">
        <v>40.3399</v>
      </c>
      <c r="AN1" s="13">
        <v>6.5595699999999999</v>
      </c>
    </row>
    <row r="2" spans="1:40" x14ac:dyDescent="0.2">
      <c r="A2" s="14" t="s">
        <v>61</v>
      </c>
      <c r="B2" s="14" t="str">
        <f t="shared" ref="B2:B7" si="0">A2</f>
        <v>Bertelsmann (1)</v>
      </c>
      <c r="C2" s="14" t="str">
        <f t="shared" ref="C2:C7" si="1">A2</f>
        <v>Bertelsmann (1)</v>
      </c>
      <c r="D2" s="15" t="s">
        <v>4</v>
      </c>
      <c r="E2" s="16">
        <v>1673</v>
      </c>
      <c r="F2" s="15" t="s">
        <v>4</v>
      </c>
      <c r="G2" s="16">
        <v>1642</v>
      </c>
      <c r="H2" s="15" t="s">
        <v>4</v>
      </c>
      <c r="I2" s="16">
        <v>1639</v>
      </c>
      <c r="J2" s="15" t="s">
        <v>4</v>
      </c>
      <c r="K2" s="16">
        <v>1578</v>
      </c>
      <c r="L2" s="32" t="s">
        <v>4</v>
      </c>
      <c r="M2" s="17">
        <v>1678</v>
      </c>
      <c r="N2" s="15" t="s">
        <v>4</v>
      </c>
      <c r="O2" s="16">
        <v>1678</v>
      </c>
      <c r="P2" s="15" t="s">
        <v>4</v>
      </c>
      <c r="Q2" s="16">
        <v>1678</v>
      </c>
      <c r="R2" s="20"/>
      <c r="S2" s="21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40" x14ac:dyDescent="0.2">
      <c r="A3" s="1" t="s">
        <v>5</v>
      </c>
      <c r="B3" s="14" t="str">
        <f t="shared" si="0"/>
        <v>RTL Group</v>
      </c>
      <c r="C3" s="14" t="str">
        <f t="shared" si="1"/>
        <v>RTL Group</v>
      </c>
      <c r="D3" s="15" t="s">
        <v>4</v>
      </c>
      <c r="E3" s="27" t="s">
        <v>4</v>
      </c>
      <c r="F3" s="15" t="s">
        <v>4</v>
      </c>
      <c r="G3" s="27" t="s">
        <v>4</v>
      </c>
      <c r="H3" s="15" t="s">
        <v>4</v>
      </c>
      <c r="I3" s="27" t="s">
        <v>4</v>
      </c>
      <c r="J3" s="15" t="s">
        <v>4</v>
      </c>
      <c r="K3" s="27" t="s">
        <v>4</v>
      </c>
      <c r="L3" s="32" t="s">
        <v>4</v>
      </c>
      <c r="M3" s="28" t="s">
        <v>4</v>
      </c>
      <c r="N3" s="15" t="s">
        <v>4</v>
      </c>
      <c r="O3" s="27" t="s">
        <v>4</v>
      </c>
      <c r="P3" s="15" t="s">
        <v>4</v>
      </c>
      <c r="Q3" s="27" t="s">
        <v>4</v>
      </c>
      <c r="R3" s="29"/>
      <c r="S3" s="30"/>
      <c r="T3" s="29"/>
      <c r="U3" s="30"/>
      <c r="V3" s="29">
        <v>48.35</v>
      </c>
      <c r="W3" s="30">
        <v>1302</v>
      </c>
      <c r="X3" s="29">
        <v>46.55</v>
      </c>
      <c r="Y3" s="30">
        <v>1242</v>
      </c>
      <c r="Z3" s="31">
        <v>37.450000000000003</v>
      </c>
      <c r="AA3" s="30">
        <v>991</v>
      </c>
      <c r="AB3" s="32">
        <f>1550/AM1</f>
        <v>38.423496339852107</v>
      </c>
      <c r="AC3" s="33">
        <f>40072/AM1</f>
        <v>993.35893247132492</v>
      </c>
      <c r="AD3" s="32">
        <f>1498/AM1</f>
        <v>37.134450011031262</v>
      </c>
      <c r="AE3" s="33">
        <f>38499/AM1</f>
        <v>954.36528102449438</v>
      </c>
      <c r="AF3" s="32">
        <f>1520/AM1</f>
        <v>37.679815765532389</v>
      </c>
      <c r="AG3" s="33">
        <f>38837/AM1</f>
        <v>962.74408216182985</v>
      </c>
      <c r="AH3" s="32">
        <f>1510/AM1</f>
        <v>37.43192224075915</v>
      </c>
      <c r="AI3" s="33">
        <f>26966/AM1</f>
        <v>668.46967890351732</v>
      </c>
      <c r="AJ3" s="29">
        <f>1510/AM1</f>
        <v>37.43192224075915</v>
      </c>
      <c r="AK3" s="33">
        <f>25184/AM1</f>
        <v>624.29505278892611</v>
      </c>
      <c r="AL3" s="1" t="s">
        <v>6</v>
      </c>
    </row>
    <row r="4" spans="1:40" x14ac:dyDescent="0.2">
      <c r="A4" s="14" t="s">
        <v>79</v>
      </c>
      <c r="B4" s="14" t="str">
        <f t="shared" si="0"/>
        <v>Total</v>
      </c>
      <c r="C4" s="14" t="str">
        <f t="shared" si="1"/>
        <v>Total</v>
      </c>
      <c r="D4" s="43">
        <v>147.4</v>
      </c>
      <c r="E4" s="16">
        <v>3462</v>
      </c>
      <c r="F4" s="43">
        <v>132</v>
      </c>
      <c r="G4" s="16">
        <v>3100</v>
      </c>
      <c r="H4" s="43">
        <v>143</v>
      </c>
      <c r="I4" s="16">
        <v>3358</v>
      </c>
      <c r="J4" s="43">
        <v>125.9</v>
      </c>
      <c r="K4" s="16">
        <v>2957</v>
      </c>
      <c r="L4" s="29">
        <v>121.7</v>
      </c>
      <c r="M4" s="17">
        <v>2858</v>
      </c>
      <c r="N4" s="43">
        <v>121.7</v>
      </c>
      <c r="O4" s="16">
        <v>2858</v>
      </c>
      <c r="P4" s="43">
        <v>136.1</v>
      </c>
      <c r="Q4" s="16">
        <v>3196</v>
      </c>
      <c r="R4" s="29"/>
      <c r="S4" s="30"/>
      <c r="T4" s="29"/>
      <c r="U4" s="30"/>
      <c r="V4" s="29">
        <v>120.9</v>
      </c>
      <c r="W4" s="30">
        <v>2351</v>
      </c>
      <c r="X4" s="29">
        <v>125.1</v>
      </c>
      <c r="Y4" s="30">
        <v>2399</v>
      </c>
      <c r="Z4" s="44">
        <f>460.3/4.5</f>
        <v>102.28888888888889</v>
      </c>
      <c r="AA4" s="30">
        <v>1921</v>
      </c>
      <c r="AB4" s="32">
        <v>86.76</v>
      </c>
      <c r="AC4" s="33">
        <v>1590</v>
      </c>
      <c r="AD4" s="32" t="e">
        <f>12875/(#REF!*4.5)</f>
        <v>#REF!</v>
      </c>
      <c r="AE4" s="33" t="e">
        <f>52109/#REF!</f>
        <v>#REF!</v>
      </c>
      <c r="AF4" s="32" t="e">
        <f>15275/(#REF!*4.5)</f>
        <v>#REF!</v>
      </c>
      <c r="AG4" s="33" t="e">
        <f>61445/#REF!</f>
        <v>#REF!</v>
      </c>
      <c r="AH4" s="32" t="e">
        <f>13950/#REF!</f>
        <v>#REF!</v>
      </c>
      <c r="AI4" s="33" t="e">
        <f>38455/#REF!</f>
        <v>#REF!</v>
      </c>
      <c r="AJ4" s="29" t="e">
        <f>13675/#REF!</f>
        <v>#REF!</v>
      </c>
      <c r="AK4" s="33" t="e">
        <f>35072/#REF!</f>
        <v>#REF!</v>
      </c>
      <c r="AL4" s="14" t="s">
        <v>6</v>
      </c>
    </row>
    <row r="5" spans="1:40" x14ac:dyDescent="0.2">
      <c r="A5" s="14" t="s">
        <v>73</v>
      </c>
      <c r="B5" s="14" t="str">
        <f t="shared" si="0"/>
        <v xml:space="preserve">Suez </v>
      </c>
      <c r="C5" s="14" t="str">
        <f t="shared" si="1"/>
        <v xml:space="preserve">Suez </v>
      </c>
      <c r="D5" s="43">
        <v>15.93</v>
      </c>
      <c r="E5" s="16">
        <v>1154</v>
      </c>
      <c r="F5" s="43">
        <v>13.72</v>
      </c>
      <c r="G5" s="16">
        <v>994</v>
      </c>
      <c r="H5" s="43">
        <v>15.4</v>
      </c>
      <c r="I5" s="16">
        <v>1116</v>
      </c>
      <c r="J5" s="43">
        <v>14.89</v>
      </c>
      <c r="K5" s="16">
        <v>1079</v>
      </c>
      <c r="L5" s="29">
        <v>11.4</v>
      </c>
      <c r="M5" s="17">
        <v>826</v>
      </c>
      <c r="N5" s="43">
        <v>11.4</v>
      </c>
      <c r="O5" s="16">
        <v>826</v>
      </c>
      <c r="P5" s="43">
        <v>16.54</v>
      </c>
      <c r="Q5" s="16">
        <v>1198</v>
      </c>
      <c r="R5" s="29"/>
      <c r="S5" s="33"/>
      <c r="T5" s="29"/>
      <c r="U5" s="33"/>
      <c r="V5" s="29">
        <v>159.9</v>
      </c>
      <c r="W5" s="33">
        <v>2134</v>
      </c>
      <c r="X5" s="29">
        <v>174.9</v>
      </c>
      <c r="Y5" s="33">
        <v>2278</v>
      </c>
      <c r="Z5" s="32">
        <v>173.2</v>
      </c>
      <c r="AA5" s="33">
        <v>2197</v>
      </c>
      <c r="AB5" s="32">
        <f>1148/AN1</f>
        <v>175.01147178854711</v>
      </c>
      <c r="AC5" s="33">
        <f>85728/AM1</f>
        <v>2125.1416091760266</v>
      </c>
      <c r="AD5" s="32">
        <f>1029/AN1</f>
        <v>156.87003873729529</v>
      </c>
      <c r="AE5" s="33">
        <f>76396/AM1</f>
        <v>1893.8073718576397</v>
      </c>
      <c r="AF5" s="32">
        <f>995/AN1</f>
        <v>151.68677215122332</v>
      </c>
      <c r="AG5" s="33">
        <f>73440/AM1</f>
        <v>1820.5300459346702</v>
      </c>
      <c r="AH5" s="32">
        <f>889/AN1</f>
        <v>135.52717632405782</v>
      </c>
      <c r="AI5" s="33">
        <f>41140/AM1</f>
        <v>1019.8339609171069</v>
      </c>
      <c r="AJ5" s="29">
        <f>666/AN1</f>
        <v>101.53104548011531</v>
      </c>
      <c r="AK5" s="33">
        <f>28071/AM1</f>
        <v>695.86191339096035</v>
      </c>
      <c r="AL5" s="14" t="s">
        <v>6</v>
      </c>
    </row>
    <row r="6" spans="1:40" x14ac:dyDescent="0.2">
      <c r="A6" s="14" t="s">
        <v>14</v>
      </c>
      <c r="B6" s="14" t="str">
        <f t="shared" si="0"/>
        <v>Imerys</v>
      </c>
      <c r="C6" s="14" t="str">
        <f t="shared" si="1"/>
        <v>Imerys</v>
      </c>
      <c r="D6" s="43">
        <v>166.9</v>
      </c>
      <c r="E6" s="16">
        <v>699</v>
      </c>
      <c r="F6" s="43">
        <v>156.9</v>
      </c>
      <c r="G6" s="16">
        <v>657</v>
      </c>
      <c r="H6" s="43">
        <v>152</v>
      </c>
      <c r="I6" s="16">
        <v>636</v>
      </c>
      <c r="J6" s="43">
        <v>126.9</v>
      </c>
      <c r="K6" s="16">
        <v>531</v>
      </c>
      <c r="L6" s="29">
        <v>110</v>
      </c>
      <c r="M6" s="17">
        <v>460</v>
      </c>
      <c r="N6" s="43">
        <v>110</v>
      </c>
      <c r="O6" s="16">
        <v>460</v>
      </c>
      <c r="P6" s="43">
        <v>120.4</v>
      </c>
      <c r="Q6" s="16">
        <v>504</v>
      </c>
      <c r="R6" s="29"/>
      <c r="S6" s="30"/>
      <c r="T6" s="29"/>
      <c r="U6" s="30"/>
      <c r="V6" s="29">
        <v>149.1</v>
      </c>
      <c r="W6" s="30">
        <v>624</v>
      </c>
      <c r="X6" s="29">
        <v>144</v>
      </c>
      <c r="Y6" s="30">
        <v>603</v>
      </c>
      <c r="Z6" s="31">
        <v>99.6</v>
      </c>
      <c r="AA6" s="30">
        <v>417</v>
      </c>
      <c r="AB6" s="32">
        <f>560/AN1</f>
        <v>85.371449652949821</v>
      </c>
      <c r="AC6" s="33">
        <f>14416/AM1</f>
        <v>357.36330531310193</v>
      </c>
      <c r="AD6" s="32">
        <f>563/AN1</f>
        <v>85.828796704662039</v>
      </c>
      <c r="AE6" s="33">
        <f>14484/AM1</f>
        <v>359.04898128155992</v>
      </c>
      <c r="AF6" s="32">
        <f>831/AN1</f>
        <v>126.68513332428803</v>
      </c>
      <c r="AG6" s="33">
        <f>19136/AM1</f>
        <v>474.3690490060709</v>
      </c>
      <c r="AH6" s="32">
        <f>818/AN1</f>
        <v>124.7032961002017</v>
      </c>
      <c r="AI6" s="33">
        <f>16662/AM1</f>
        <v>413.04019097717151</v>
      </c>
      <c r="AJ6" s="29">
        <f>748/AN1</f>
        <v>114.03186489358296</v>
      </c>
      <c r="AK6" s="33">
        <f>15243/AM1</f>
        <v>377.8640998118488</v>
      </c>
      <c r="AL6" s="14" t="s">
        <v>6</v>
      </c>
    </row>
    <row r="7" spans="1:40" x14ac:dyDescent="0.2">
      <c r="A7" s="14" t="s">
        <v>15</v>
      </c>
      <c r="B7" s="14" t="str">
        <f t="shared" si="0"/>
        <v>Rhodia</v>
      </c>
      <c r="C7" s="14" t="str">
        <f t="shared" si="1"/>
        <v>Rhodia</v>
      </c>
      <c r="D7" s="43">
        <v>3.55</v>
      </c>
      <c r="E7" s="16">
        <v>31</v>
      </c>
      <c r="F7" s="43">
        <v>4.32</v>
      </c>
      <c r="G7" s="16">
        <v>41</v>
      </c>
      <c r="H7" s="43">
        <v>6.75</v>
      </c>
      <c r="I7" s="16">
        <v>64</v>
      </c>
      <c r="J7" s="43">
        <v>5.93</v>
      </c>
      <c r="K7" s="16">
        <v>57</v>
      </c>
      <c r="L7" s="29">
        <v>5.47</v>
      </c>
      <c r="M7" s="17">
        <v>52</v>
      </c>
      <c r="N7" s="43">
        <v>5.47</v>
      </c>
      <c r="O7" s="16">
        <v>52</v>
      </c>
      <c r="P7" s="43">
        <v>7.89</v>
      </c>
      <c r="Q7" s="16">
        <v>75</v>
      </c>
      <c r="R7" s="29"/>
      <c r="S7" s="47"/>
      <c r="T7" s="29"/>
      <c r="U7" s="47"/>
      <c r="V7" s="47"/>
      <c r="W7" s="47" t="s">
        <v>16</v>
      </c>
      <c r="X7" s="48"/>
      <c r="Y7" s="47" t="s">
        <v>16</v>
      </c>
      <c r="AA7" s="47" t="s">
        <v>16</v>
      </c>
      <c r="AB7" s="23"/>
      <c r="AC7" s="47" t="s">
        <v>16</v>
      </c>
      <c r="AD7" s="23"/>
      <c r="AE7" s="47"/>
      <c r="AF7" s="23"/>
      <c r="AG7" s="47"/>
      <c r="AH7" s="23"/>
      <c r="AI7" s="33"/>
      <c r="AJ7" s="25"/>
      <c r="AK7" s="33"/>
      <c r="AL7" s="14"/>
    </row>
    <row r="8" spans="1:40" x14ac:dyDescent="0.2">
      <c r="A8" s="14" t="s">
        <v>17</v>
      </c>
      <c r="B8" s="14" t="s">
        <v>18</v>
      </c>
      <c r="C8" s="14" t="s">
        <v>19</v>
      </c>
      <c r="D8" s="43"/>
      <c r="E8" s="16">
        <v>33</v>
      </c>
      <c r="F8" s="43"/>
      <c r="G8" s="16">
        <v>34</v>
      </c>
      <c r="H8" s="43"/>
      <c r="I8" s="16">
        <v>34</v>
      </c>
      <c r="J8" s="43"/>
      <c r="K8" s="16">
        <v>35</v>
      </c>
      <c r="L8" s="29"/>
      <c r="M8" s="17">
        <v>36</v>
      </c>
      <c r="N8" s="43"/>
      <c r="O8" s="16">
        <v>36</v>
      </c>
      <c r="P8" s="43"/>
      <c r="Q8" s="16">
        <v>35</v>
      </c>
      <c r="R8" s="48"/>
      <c r="S8" s="30"/>
      <c r="T8" s="48"/>
      <c r="U8" s="30"/>
      <c r="V8" s="48"/>
      <c r="W8" s="30">
        <v>266</v>
      </c>
      <c r="X8" s="48"/>
      <c r="Y8" s="30">
        <v>257</v>
      </c>
      <c r="AA8" s="30">
        <f>25+190</f>
        <v>215</v>
      </c>
      <c r="AB8" s="23" t="s">
        <v>3</v>
      </c>
      <c r="AC8" s="33">
        <f>7517/AM1+1</f>
        <v>187.34156257204407</v>
      </c>
      <c r="AD8" s="23" t="s">
        <v>3</v>
      </c>
      <c r="AE8" s="33">
        <f>10221/AM1</f>
        <v>253.37197167072799</v>
      </c>
      <c r="AF8" s="23" t="s">
        <v>6</v>
      </c>
      <c r="AG8" s="33">
        <f>13264/AM1</f>
        <v>328.80597125922475</v>
      </c>
      <c r="AH8" s="23" t="s">
        <v>6</v>
      </c>
      <c r="AI8" s="33">
        <f>15670/AM1+1</f>
        <v>389.44915331966615</v>
      </c>
      <c r="AJ8" s="25" t="s">
        <v>6</v>
      </c>
      <c r="AK8" s="33">
        <f>22978/AM1</f>
        <v>569.60974122394953</v>
      </c>
      <c r="AL8" s="14" t="s">
        <v>6</v>
      </c>
    </row>
    <row r="9" spans="1:40" s="53" customFormat="1" x14ac:dyDescent="0.2">
      <c r="A9" s="50" t="s">
        <v>20</v>
      </c>
      <c r="B9" s="50" t="s">
        <v>21</v>
      </c>
      <c r="C9" s="50" t="s">
        <v>22</v>
      </c>
      <c r="D9" s="43"/>
      <c r="E9" s="16">
        <v>476</v>
      </c>
      <c r="F9" s="43"/>
      <c r="G9" s="16">
        <v>462</v>
      </c>
      <c r="H9" s="43"/>
      <c r="I9" s="16">
        <v>448</v>
      </c>
      <c r="J9" s="43"/>
      <c r="K9" s="16">
        <v>396</v>
      </c>
      <c r="L9" s="29"/>
      <c r="M9" s="17">
        <v>328</v>
      </c>
      <c r="N9" s="43"/>
      <c r="O9" s="16">
        <v>328</v>
      </c>
      <c r="P9" s="43"/>
      <c r="Q9" s="16">
        <v>354</v>
      </c>
      <c r="R9" s="52"/>
      <c r="T9" s="52"/>
      <c r="V9" s="52"/>
      <c r="W9" s="53">
        <v>392</v>
      </c>
      <c r="X9" s="52"/>
      <c r="Y9" s="53">
        <v>414</v>
      </c>
      <c r="Z9" s="54"/>
      <c r="AA9" s="53">
        <v>527</v>
      </c>
      <c r="AB9" s="55" t="s">
        <v>3</v>
      </c>
      <c r="AC9" s="55">
        <f>24308/AM1</f>
        <v>602.57958001879035</v>
      </c>
      <c r="AD9" s="55" t="s">
        <v>3</v>
      </c>
      <c r="AE9" s="55">
        <f>22554/AM1</f>
        <v>559.09905577356415</v>
      </c>
      <c r="AF9" s="55" t="s">
        <v>6</v>
      </c>
      <c r="AG9" s="55">
        <f>29104/AM1</f>
        <v>721.46931450003592</v>
      </c>
      <c r="AH9" s="55" t="s">
        <v>6</v>
      </c>
      <c r="AI9" s="55">
        <f>48989/AM1+1</f>
        <v>1215.4055885116225</v>
      </c>
      <c r="AJ9" s="50" t="s">
        <v>6</v>
      </c>
      <c r="AK9" s="55">
        <f>37124/AM1+1</f>
        <v>921.27992136817397</v>
      </c>
      <c r="AL9" s="50" t="s">
        <v>6</v>
      </c>
    </row>
    <row r="10" spans="1:40" s="145" customFormat="1" x14ac:dyDescent="0.2">
      <c r="A10" s="56" t="s">
        <v>25</v>
      </c>
      <c r="B10" s="56" t="s">
        <v>135</v>
      </c>
      <c r="C10" s="56" t="s">
        <v>26</v>
      </c>
      <c r="D10" s="133"/>
      <c r="E10" s="58">
        <f>SUM(E2:E9)</f>
        <v>7528</v>
      </c>
      <c r="F10" s="133"/>
      <c r="G10" s="58">
        <f>SUM(G2:G9)</f>
        <v>6930</v>
      </c>
      <c r="H10" s="133"/>
      <c r="I10" s="58">
        <f>SUM(I2:I9)</f>
        <v>7295</v>
      </c>
      <c r="J10" s="133"/>
      <c r="K10" s="58">
        <f>SUM(K2:K9)</f>
        <v>6633</v>
      </c>
      <c r="L10" s="123"/>
      <c r="M10" s="122">
        <f>SUM(M2:M9)</f>
        <v>6238</v>
      </c>
      <c r="N10" s="133"/>
      <c r="O10" s="58">
        <f>SUM(O2:O9)</f>
        <v>6238</v>
      </c>
      <c r="P10" s="133"/>
      <c r="Q10" s="58">
        <f>SUM(Q2:Q9)</f>
        <v>7040</v>
      </c>
      <c r="R10" s="139"/>
      <c r="S10" s="140"/>
      <c r="T10" s="139"/>
      <c r="U10" s="140"/>
      <c r="V10" s="139"/>
      <c r="W10" s="140" t="e">
        <f>SUM(W3:W5:#REF!)-#REF!-#REF!</f>
        <v>#REF!</v>
      </c>
      <c r="X10" s="139"/>
      <c r="Y10" s="140" t="e">
        <f>SUM(Y3:Y5:#REF!)-#REF!-#REF!</f>
        <v>#REF!</v>
      </c>
      <c r="Z10" s="141"/>
      <c r="AA10" s="140" t="e">
        <f>SUM(AA3:AA5:#REF!)-#REF!-#REF!</f>
        <v>#REF!</v>
      </c>
      <c r="AB10" s="142" t="s">
        <v>3</v>
      </c>
      <c r="AC10" s="140" t="e">
        <f>SUM(AC3:AC5:#REF!)-#REF!-#REF!-1</f>
        <v>#REF!</v>
      </c>
      <c r="AD10" s="142" t="s">
        <v>3</v>
      </c>
      <c r="AE10" s="140">
        <f>SUM(AE5:AE9)</f>
        <v>3065.3273805834915</v>
      </c>
      <c r="AF10" s="142" t="s">
        <v>6</v>
      </c>
      <c r="AG10" s="140">
        <f>SUM(AG5:AG9)</f>
        <v>3345.1743807000021</v>
      </c>
      <c r="AH10" s="142" t="s">
        <v>6</v>
      </c>
      <c r="AI10" s="124">
        <f>SUM(AI5:AI9)-2</f>
        <v>3035.7288937255671</v>
      </c>
      <c r="AJ10" s="143" t="s">
        <v>6</v>
      </c>
      <c r="AK10" s="124">
        <f>SUM(AK5:AK9)-1</f>
        <v>2563.6156757949329</v>
      </c>
      <c r="AL10" s="144" t="s">
        <v>6</v>
      </c>
      <c r="AM10" s="145">
        <f>236182/AM1</f>
        <v>5854.7988467993227</v>
      </c>
      <c r="AN10" s="145">
        <f>214263/AM1</f>
        <v>5311.4410298488592</v>
      </c>
    </row>
    <row r="11" spans="1:40" s="87" customFormat="1" ht="25.5" customHeight="1" x14ac:dyDescent="0.2">
      <c r="A11" s="66" t="s">
        <v>27</v>
      </c>
      <c r="B11" s="66" t="s">
        <v>137</v>
      </c>
      <c r="C11" s="66" t="s">
        <v>28</v>
      </c>
      <c r="D11" s="134"/>
      <c r="E11" s="68">
        <v>54.43</v>
      </c>
      <c r="F11" s="134"/>
      <c r="G11" s="68">
        <v>50.11</v>
      </c>
      <c r="H11" s="134"/>
      <c r="I11" s="68">
        <v>52.75</v>
      </c>
      <c r="J11" s="134"/>
      <c r="K11" s="68">
        <v>47.96</v>
      </c>
      <c r="L11" s="71"/>
      <c r="M11" s="69">
        <v>45.1</v>
      </c>
      <c r="N11" s="134"/>
      <c r="O11" s="68">
        <v>45.1</v>
      </c>
      <c r="P11" s="134"/>
      <c r="Q11" s="68">
        <v>50.91</v>
      </c>
      <c r="R11" s="146"/>
      <c r="S11" s="23"/>
      <c r="T11" s="146"/>
      <c r="U11" s="23"/>
      <c r="V11" s="146"/>
      <c r="W11" s="23">
        <v>289.33</v>
      </c>
      <c r="X11" s="146"/>
      <c r="Y11" s="23">
        <v>256.52999999999997</v>
      </c>
      <c r="Z11" s="49"/>
      <c r="AA11" s="23">
        <v>256.52999999999997</v>
      </c>
      <c r="AB11" s="23" t="s">
        <v>3</v>
      </c>
      <c r="AC11" s="23">
        <v>239.64</v>
      </c>
      <c r="AD11" s="23" t="s">
        <v>3</v>
      </c>
      <c r="AE11" s="23">
        <v>217.47</v>
      </c>
      <c r="AF11" s="22"/>
      <c r="AG11" s="23">
        <v>238.97</v>
      </c>
      <c r="AH11" s="23" t="s">
        <v>6</v>
      </c>
      <c r="AI11" s="22">
        <v>206.87</v>
      </c>
      <c r="AJ11" s="25" t="s">
        <v>6</v>
      </c>
      <c r="AK11" s="22">
        <v>178.36</v>
      </c>
      <c r="AL11" s="25" t="s">
        <v>6</v>
      </c>
    </row>
    <row r="12" spans="1:40" s="87" customFormat="1" x14ac:dyDescent="0.2">
      <c r="A12" s="66" t="s">
        <v>29</v>
      </c>
      <c r="B12" s="66" t="s">
        <v>30</v>
      </c>
      <c r="C12" s="66" t="s">
        <v>31</v>
      </c>
      <c r="D12" s="134"/>
      <c r="E12" s="73">
        <v>44.67</v>
      </c>
      <c r="F12" s="134"/>
      <c r="G12" s="73">
        <v>41.48</v>
      </c>
      <c r="H12" s="134"/>
      <c r="I12" s="73">
        <v>42.8</v>
      </c>
      <c r="J12" s="134"/>
      <c r="K12" s="73">
        <v>38.04</v>
      </c>
      <c r="L12" s="71"/>
      <c r="M12" s="66">
        <v>33.700000000000003</v>
      </c>
      <c r="N12" s="134"/>
      <c r="O12" s="73">
        <v>33.700000000000003</v>
      </c>
      <c r="P12" s="134"/>
      <c r="Q12" s="73">
        <v>39.01</v>
      </c>
      <c r="R12" s="146"/>
      <c r="T12" s="146"/>
      <c r="V12" s="146"/>
      <c r="W12" s="87">
        <v>186.9</v>
      </c>
      <c r="X12" s="146"/>
      <c r="Y12" s="87">
        <v>163.9</v>
      </c>
      <c r="Z12" s="49"/>
      <c r="AA12" s="87">
        <v>167.5</v>
      </c>
      <c r="AB12" s="147" t="s">
        <v>3</v>
      </c>
      <c r="AC12" s="147">
        <v>173.53</v>
      </c>
      <c r="AD12" s="147" t="s">
        <v>3</v>
      </c>
      <c r="AE12" s="147">
        <v>160.63999999999999</v>
      </c>
      <c r="AF12" s="23" t="s">
        <v>6</v>
      </c>
      <c r="AG12" s="23">
        <v>186.17</v>
      </c>
      <c r="AH12" s="23" t="s">
        <v>6</v>
      </c>
      <c r="AI12" s="23">
        <v>160.63999999999999</v>
      </c>
      <c r="AJ12" s="25" t="s">
        <v>6</v>
      </c>
      <c r="AK12" s="23">
        <v>132.87</v>
      </c>
      <c r="AL12" s="148" t="s">
        <v>6</v>
      </c>
    </row>
    <row r="13" spans="1:40" x14ac:dyDescent="0.2">
      <c r="A13" s="64" t="s">
        <v>74</v>
      </c>
      <c r="B13" s="64" t="s">
        <v>78</v>
      </c>
      <c r="C13" s="64" t="s">
        <v>77</v>
      </c>
      <c r="D13" s="136"/>
      <c r="E13" s="135">
        <v>138300053</v>
      </c>
      <c r="F13" s="136"/>
      <c r="G13" s="135">
        <v>138300053</v>
      </c>
      <c r="H13" s="136"/>
      <c r="I13" s="135">
        <v>138300053</v>
      </c>
      <c r="J13" s="136"/>
      <c r="K13" s="135">
        <v>138300053</v>
      </c>
      <c r="L13" s="60"/>
      <c r="M13" s="59">
        <v>138300053</v>
      </c>
      <c r="N13" s="136"/>
      <c r="O13" s="135">
        <v>138300053</v>
      </c>
      <c r="P13" s="136"/>
      <c r="Q13" s="135">
        <v>138300053</v>
      </c>
      <c r="R13" s="48"/>
      <c r="S13" s="33"/>
      <c r="T13" s="48"/>
      <c r="U13" s="33"/>
      <c r="V13" s="48"/>
      <c r="W13" s="33">
        <v>24432025</v>
      </c>
      <c r="X13" s="48"/>
      <c r="Y13" s="33">
        <v>24432025</v>
      </c>
      <c r="AA13" s="33">
        <v>24432025</v>
      </c>
      <c r="AB13" s="23" t="s">
        <v>3</v>
      </c>
      <c r="AC13" s="33">
        <v>24432025</v>
      </c>
      <c r="AD13" s="23" t="s">
        <v>3</v>
      </c>
      <c r="AE13" s="33">
        <v>24458667</v>
      </c>
      <c r="AF13" s="23" t="s">
        <v>6</v>
      </c>
      <c r="AG13" s="33">
        <v>24402157</v>
      </c>
      <c r="AH13" s="23" t="s">
        <v>6</v>
      </c>
      <c r="AI13" s="33">
        <v>25783578</v>
      </c>
      <c r="AJ13" s="25" t="s">
        <v>6</v>
      </c>
      <c r="AK13" s="33">
        <v>25783578</v>
      </c>
      <c r="AL13" s="14" t="s">
        <v>6</v>
      </c>
    </row>
    <row r="15" spans="1:40" ht="12.75" customHeight="1" x14ac:dyDescent="0.2">
      <c r="B15" s="88"/>
      <c r="C15" s="89"/>
      <c r="D15" s="90"/>
      <c r="E15" s="91"/>
      <c r="F15" s="90"/>
      <c r="G15" s="91"/>
      <c r="H15" s="90"/>
      <c r="I15" s="91"/>
      <c r="J15" s="90"/>
      <c r="K15" s="149"/>
      <c r="L15" s="88"/>
      <c r="M15" s="92"/>
      <c r="N15" s="90"/>
      <c r="O15" s="91"/>
      <c r="P15" s="90"/>
      <c r="Q15" s="149"/>
      <c r="R15" s="88"/>
      <c r="S15" s="93"/>
      <c r="T15" s="88"/>
      <c r="V15" s="26"/>
      <c r="W15" s="23"/>
      <c r="X15" s="14"/>
      <c r="Y15" s="23"/>
      <c r="Z15" s="47"/>
      <c r="AA15" s="47"/>
      <c r="AB15" s="47"/>
      <c r="AC15" s="47"/>
      <c r="AD15" s="47"/>
      <c r="AE15" s="47"/>
      <c r="AF15" s="47"/>
      <c r="AG15" s="14"/>
    </row>
  </sheetData>
  <phoneticPr fontId="2" type="noConversion"/>
  <pageMargins left="0.78740157499999996" right="0.78740157499999996" top="0.984251969" bottom="0.984251969" header="0.4921259845" footer="0.4921259845"/>
  <pageSetup paperSize="9"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N14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5.140625" style="26" hidden="1" customWidth="1"/>
    <col min="2" max="2" width="30.140625" style="26" customWidth="1"/>
    <col min="3" max="3" width="23.14062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40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38352</v>
      </c>
      <c r="F1" s="3"/>
      <c r="G1" s="137">
        <v>38300</v>
      </c>
      <c r="H1" s="3"/>
      <c r="I1" s="137">
        <v>38237</v>
      </c>
      <c r="J1" s="3"/>
      <c r="K1" s="137">
        <v>38111</v>
      </c>
      <c r="L1" s="138"/>
      <c r="M1" s="5">
        <v>38075</v>
      </c>
      <c r="N1" s="3"/>
      <c r="O1" s="137">
        <v>38075</v>
      </c>
      <c r="P1" s="3"/>
      <c r="Q1" s="137">
        <v>37986</v>
      </c>
      <c r="R1" s="2"/>
      <c r="S1" s="2"/>
      <c r="T1" s="7"/>
      <c r="U1" s="8"/>
      <c r="V1" s="7"/>
      <c r="W1" s="8">
        <v>36420</v>
      </c>
      <c r="X1" s="7"/>
      <c r="Y1" s="8">
        <v>36341</v>
      </c>
      <c r="Z1" s="8"/>
      <c r="AA1" s="8">
        <v>36231</v>
      </c>
      <c r="AB1" s="8"/>
      <c r="AC1" s="8">
        <v>36160</v>
      </c>
      <c r="AD1" s="9"/>
      <c r="AE1" s="8">
        <v>36052</v>
      </c>
      <c r="AF1" s="10" t="s">
        <v>3</v>
      </c>
      <c r="AG1" s="11">
        <v>35976</v>
      </c>
      <c r="AH1" s="10" t="s">
        <v>3</v>
      </c>
      <c r="AI1" s="11">
        <v>35884</v>
      </c>
      <c r="AJ1" s="12" t="s">
        <v>3</v>
      </c>
      <c r="AK1" s="11">
        <v>35795</v>
      </c>
      <c r="AM1" s="13">
        <v>40.3399</v>
      </c>
      <c r="AN1" s="13">
        <v>6.5595699999999999</v>
      </c>
    </row>
    <row r="2" spans="1:40" x14ac:dyDescent="0.2">
      <c r="A2" s="14" t="s">
        <v>61</v>
      </c>
      <c r="B2" s="14" t="str">
        <f>A2</f>
        <v>Bertelsmann (1)</v>
      </c>
      <c r="C2" s="14" t="str">
        <f>A2</f>
        <v>Bertelsmann (1)</v>
      </c>
      <c r="D2" s="15" t="s">
        <v>4</v>
      </c>
      <c r="E2" s="16">
        <v>1885</v>
      </c>
      <c r="F2" s="15" t="s">
        <v>4</v>
      </c>
      <c r="G2" s="16">
        <v>1783</v>
      </c>
      <c r="H2" s="15" t="s">
        <v>4</v>
      </c>
      <c r="I2" s="16">
        <v>1765</v>
      </c>
      <c r="J2" s="15" t="s">
        <v>4</v>
      </c>
      <c r="K2" s="16">
        <v>1681</v>
      </c>
      <c r="L2" s="32" t="s">
        <v>4</v>
      </c>
      <c r="M2" s="17">
        <v>1673</v>
      </c>
      <c r="N2" s="15" t="s">
        <v>4</v>
      </c>
      <c r="O2" s="16">
        <v>1673</v>
      </c>
      <c r="P2" s="15" t="s">
        <v>4</v>
      </c>
      <c r="Q2" s="16">
        <v>1673</v>
      </c>
      <c r="R2" s="20"/>
      <c r="S2" s="21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40" x14ac:dyDescent="0.2">
      <c r="A3" s="14" t="s">
        <v>79</v>
      </c>
      <c r="B3" s="14" t="str">
        <f>A3</f>
        <v>Total</v>
      </c>
      <c r="C3" s="14" t="str">
        <f>A3</f>
        <v>Total</v>
      </c>
      <c r="D3" s="43">
        <v>160.69999999999999</v>
      </c>
      <c r="E3" s="16">
        <v>3774</v>
      </c>
      <c r="F3" s="43">
        <v>165.4</v>
      </c>
      <c r="G3" s="16">
        <v>3884</v>
      </c>
      <c r="H3" s="43">
        <v>163</v>
      </c>
      <c r="I3" s="16">
        <v>3828</v>
      </c>
      <c r="J3" s="43">
        <v>157.5</v>
      </c>
      <c r="K3" s="16">
        <v>3699</v>
      </c>
      <c r="L3" s="29">
        <v>148.6</v>
      </c>
      <c r="M3" s="17">
        <v>3490</v>
      </c>
      <c r="N3" s="43">
        <v>148.6</v>
      </c>
      <c r="O3" s="16">
        <v>3490</v>
      </c>
      <c r="P3" s="43">
        <v>147.4</v>
      </c>
      <c r="Q3" s="16">
        <v>3462</v>
      </c>
      <c r="R3" s="29"/>
      <c r="S3" s="30"/>
      <c r="T3" s="29"/>
      <c r="U3" s="30"/>
      <c r="V3" s="29">
        <v>120.9</v>
      </c>
      <c r="W3" s="30">
        <v>2351</v>
      </c>
      <c r="X3" s="29">
        <v>125.1</v>
      </c>
      <c r="Y3" s="30">
        <v>2399</v>
      </c>
      <c r="Z3" s="44">
        <f>460.3/4.5</f>
        <v>102.28888888888889</v>
      </c>
      <c r="AA3" s="30">
        <v>1921</v>
      </c>
      <c r="AB3" s="32">
        <v>86.76</v>
      </c>
      <c r="AC3" s="33">
        <v>1590</v>
      </c>
      <c r="AD3" s="32" t="e">
        <f>12875/(#REF!*4.5)</f>
        <v>#REF!</v>
      </c>
      <c r="AE3" s="33" t="e">
        <f>52109/#REF!</f>
        <v>#REF!</v>
      </c>
      <c r="AF3" s="32" t="e">
        <f>15275/(#REF!*4.5)</f>
        <v>#REF!</v>
      </c>
      <c r="AG3" s="33" t="e">
        <f>61445/#REF!</f>
        <v>#REF!</v>
      </c>
      <c r="AH3" s="32" t="e">
        <f>13950/#REF!</f>
        <v>#REF!</v>
      </c>
      <c r="AI3" s="33" t="e">
        <f>38455/#REF!</f>
        <v>#REF!</v>
      </c>
      <c r="AJ3" s="29" t="e">
        <f>13675/#REF!</f>
        <v>#REF!</v>
      </c>
      <c r="AK3" s="33" t="e">
        <f>35072/#REF!</f>
        <v>#REF!</v>
      </c>
      <c r="AL3" s="14" t="s">
        <v>6</v>
      </c>
    </row>
    <row r="4" spans="1:40" x14ac:dyDescent="0.2">
      <c r="A4" s="14" t="s">
        <v>73</v>
      </c>
      <c r="B4" s="14" t="str">
        <f>A4</f>
        <v xml:space="preserve">Suez </v>
      </c>
      <c r="C4" s="14" t="str">
        <f>A4</f>
        <v xml:space="preserve">Suez </v>
      </c>
      <c r="D4" s="43">
        <v>19.62</v>
      </c>
      <c r="E4" s="16">
        <v>1422</v>
      </c>
      <c r="F4" s="43">
        <v>18.27</v>
      </c>
      <c r="G4" s="16">
        <v>1324</v>
      </c>
      <c r="H4" s="43">
        <v>17.239999999999998</v>
      </c>
      <c r="I4" s="16">
        <v>1249</v>
      </c>
      <c r="J4" s="43">
        <v>16.149999999999999</v>
      </c>
      <c r="K4" s="16">
        <v>1170</v>
      </c>
      <c r="L4" s="29">
        <v>16.54</v>
      </c>
      <c r="M4" s="17">
        <v>1198</v>
      </c>
      <c r="N4" s="43">
        <v>16.54</v>
      </c>
      <c r="O4" s="16">
        <v>1198</v>
      </c>
      <c r="P4" s="43">
        <v>15.93</v>
      </c>
      <c r="Q4" s="16">
        <v>1154</v>
      </c>
      <c r="R4" s="29"/>
      <c r="S4" s="33"/>
      <c r="T4" s="29"/>
      <c r="U4" s="33"/>
      <c r="V4" s="29">
        <v>159.9</v>
      </c>
      <c r="W4" s="33">
        <v>2134</v>
      </c>
      <c r="X4" s="29">
        <v>174.9</v>
      </c>
      <c r="Y4" s="33">
        <v>2278</v>
      </c>
      <c r="Z4" s="32">
        <v>173.2</v>
      </c>
      <c r="AA4" s="33">
        <v>2197</v>
      </c>
      <c r="AB4" s="32">
        <f>1148/AN1</f>
        <v>175.01147178854711</v>
      </c>
      <c r="AC4" s="33">
        <f>85728/AM1</f>
        <v>2125.1416091760266</v>
      </c>
      <c r="AD4" s="32">
        <f>1029/AN1</f>
        <v>156.87003873729529</v>
      </c>
      <c r="AE4" s="33">
        <f>76396/AM1</f>
        <v>1893.8073718576397</v>
      </c>
      <c r="AF4" s="32">
        <f>995/AN1</f>
        <v>151.68677215122332</v>
      </c>
      <c r="AG4" s="33">
        <f>73440/AM1</f>
        <v>1820.5300459346702</v>
      </c>
      <c r="AH4" s="32">
        <f>889/AN1</f>
        <v>135.52717632405782</v>
      </c>
      <c r="AI4" s="33">
        <f>41140/AM1</f>
        <v>1019.8339609171069</v>
      </c>
      <c r="AJ4" s="29">
        <f>666/AN1</f>
        <v>101.53104548011531</v>
      </c>
      <c r="AK4" s="33">
        <f>28071/AM1</f>
        <v>695.86191339096035</v>
      </c>
      <c r="AL4" s="14" t="s">
        <v>6</v>
      </c>
    </row>
    <row r="5" spans="1:40" x14ac:dyDescent="0.2">
      <c r="A5" s="14" t="s">
        <v>80</v>
      </c>
      <c r="B5" s="14" t="str">
        <f>A5</f>
        <v>Imerys (2)</v>
      </c>
      <c r="C5" s="14" t="str">
        <f>A5</f>
        <v>Imerys (2)</v>
      </c>
      <c r="D5" s="43">
        <v>61.75</v>
      </c>
      <c r="E5" s="16">
        <v>1034</v>
      </c>
      <c r="F5" s="43">
        <v>55.9</v>
      </c>
      <c r="G5" s="16">
        <v>936</v>
      </c>
      <c r="H5" s="43">
        <v>50.85</v>
      </c>
      <c r="I5" s="16">
        <v>851</v>
      </c>
      <c r="J5" s="43">
        <v>48.15</v>
      </c>
      <c r="K5" s="16">
        <v>806</v>
      </c>
      <c r="L5" s="29">
        <v>47.22</v>
      </c>
      <c r="M5" s="17">
        <v>791</v>
      </c>
      <c r="N5" s="43">
        <v>47.22</v>
      </c>
      <c r="O5" s="16">
        <v>791</v>
      </c>
      <c r="P5" s="43">
        <v>41.73</v>
      </c>
      <c r="Q5" s="16">
        <v>699</v>
      </c>
      <c r="R5" s="29"/>
      <c r="S5" s="30"/>
      <c r="T5" s="29"/>
      <c r="U5" s="30"/>
      <c r="V5" s="29">
        <v>149.1</v>
      </c>
      <c r="W5" s="30">
        <v>624</v>
      </c>
      <c r="X5" s="29">
        <v>144</v>
      </c>
      <c r="Y5" s="30">
        <v>603</v>
      </c>
      <c r="Z5" s="31">
        <v>99.6</v>
      </c>
      <c r="AA5" s="30">
        <v>417</v>
      </c>
      <c r="AB5" s="32">
        <f>560/AN1</f>
        <v>85.371449652949821</v>
      </c>
      <c r="AC5" s="33">
        <f>14416/AM1</f>
        <v>357.36330531310193</v>
      </c>
      <c r="AD5" s="32">
        <f>563/AN1</f>
        <v>85.828796704662039</v>
      </c>
      <c r="AE5" s="33">
        <f>14484/AM1</f>
        <v>359.04898128155992</v>
      </c>
      <c r="AF5" s="32">
        <f>831/AN1</f>
        <v>126.68513332428803</v>
      </c>
      <c r="AG5" s="33">
        <f>19136/AM1</f>
        <v>474.3690490060709</v>
      </c>
      <c r="AH5" s="32">
        <f>818/AN1</f>
        <v>124.7032961002017</v>
      </c>
      <c r="AI5" s="33">
        <f>16662/AM1</f>
        <v>413.04019097717151</v>
      </c>
      <c r="AJ5" s="29">
        <f>748/AN1</f>
        <v>114.03186489358296</v>
      </c>
      <c r="AK5" s="33">
        <f>15243/AM1</f>
        <v>377.8640998118488</v>
      </c>
      <c r="AL5" s="14" t="s">
        <v>6</v>
      </c>
    </row>
    <row r="6" spans="1:40" x14ac:dyDescent="0.2">
      <c r="A6" s="14" t="s">
        <v>15</v>
      </c>
      <c r="B6" s="14" t="str">
        <f>A6</f>
        <v>Rhodia</v>
      </c>
      <c r="C6" s="14" t="str">
        <f>A6</f>
        <v>Rhodia</v>
      </c>
      <c r="D6" s="43"/>
      <c r="E6" s="132" t="s">
        <v>4</v>
      </c>
      <c r="F6" s="43"/>
      <c r="G6" s="132" t="s">
        <v>4</v>
      </c>
      <c r="H6" s="43"/>
      <c r="I6" s="132" t="s">
        <v>4</v>
      </c>
      <c r="J6" s="43"/>
      <c r="K6" s="132" t="s">
        <v>4</v>
      </c>
      <c r="L6" s="29"/>
      <c r="M6" s="17">
        <v>0</v>
      </c>
      <c r="N6" s="43"/>
      <c r="O6" s="132" t="s">
        <v>4</v>
      </c>
      <c r="P6" s="43">
        <v>3.55</v>
      </c>
      <c r="Q6" s="16">
        <v>31</v>
      </c>
      <c r="R6" s="29"/>
      <c r="S6" s="47"/>
      <c r="T6" s="29"/>
      <c r="U6" s="47"/>
      <c r="V6" s="47"/>
      <c r="W6" s="47" t="s">
        <v>16</v>
      </c>
      <c r="X6" s="48"/>
      <c r="Y6" s="47" t="s">
        <v>16</v>
      </c>
      <c r="AA6" s="47" t="s">
        <v>16</v>
      </c>
      <c r="AB6" s="23"/>
      <c r="AC6" s="47" t="s">
        <v>16</v>
      </c>
      <c r="AD6" s="23"/>
      <c r="AE6" s="47"/>
      <c r="AF6" s="23"/>
      <c r="AG6" s="47"/>
      <c r="AH6" s="23"/>
      <c r="AI6" s="33"/>
      <c r="AJ6" s="25"/>
      <c r="AK6" s="33"/>
      <c r="AL6" s="14"/>
    </row>
    <row r="7" spans="1:40" x14ac:dyDescent="0.2">
      <c r="A7" s="14" t="s">
        <v>17</v>
      </c>
      <c r="B7" s="14" t="s">
        <v>18</v>
      </c>
      <c r="C7" s="14" t="s">
        <v>19</v>
      </c>
      <c r="D7" s="43"/>
      <c r="E7" s="16">
        <v>49</v>
      </c>
      <c r="F7" s="43"/>
      <c r="G7" s="16">
        <v>91</v>
      </c>
      <c r="H7" s="43"/>
      <c r="I7" s="16">
        <v>49</v>
      </c>
      <c r="J7" s="43"/>
      <c r="K7" s="16">
        <v>52</v>
      </c>
      <c r="L7" s="29"/>
      <c r="M7" s="17">
        <v>35</v>
      </c>
      <c r="N7" s="43"/>
      <c r="O7" s="16">
        <v>35</v>
      </c>
      <c r="P7" s="43"/>
      <c r="Q7" s="16">
        <v>33</v>
      </c>
      <c r="R7" s="48"/>
      <c r="S7" s="30"/>
      <c r="T7" s="48"/>
      <c r="U7" s="30"/>
      <c r="V7" s="48"/>
      <c r="W7" s="30">
        <v>266</v>
      </c>
      <c r="X7" s="48"/>
      <c r="Y7" s="30">
        <v>257</v>
      </c>
      <c r="AA7" s="30">
        <f>25+190</f>
        <v>215</v>
      </c>
      <c r="AB7" s="23" t="s">
        <v>3</v>
      </c>
      <c r="AC7" s="33">
        <f>7517/AM1+1</f>
        <v>187.34156257204407</v>
      </c>
      <c r="AD7" s="23" t="s">
        <v>3</v>
      </c>
      <c r="AE7" s="33">
        <f>10221/AM1</f>
        <v>253.37197167072799</v>
      </c>
      <c r="AF7" s="23" t="s">
        <v>6</v>
      </c>
      <c r="AG7" s="33">
        <f>13264/AM1</f>
        <v>328.80597125922475</v>
      </c>
      <c r="AH7" s="23" t="s">
        <v>6</v>
      </c>
      <c r="AI7" s="33">
        <f>15670/AM1+1</f>
        <v>389.44915331966615</v>
      </c>
      <c r="AJ7" s="25" t="s">
        <v>6</v>
      </c>
      <c r="AK7" s="33">
        <f>22978/AM1</f>
        <v>569.60974122394953</v>
      </c>
      <c r="AL7" s="14" t="s">
        <v>6</v>
      </c>
    </row>
    <row r="8" spans="1:40" s="53" customFormat="1" x14ac:dyDescent="0.2">
      <c r="A8" s="50" t="s">
        <v>20</v>
      </c>
      <c r="B8" s="50" t="s">
        <v>21</v>
      </c>
      <c r="C8" s="50" t="s">
        <v>22</v>
      </c>
      <c r="D8" s="43"/>
      <c r="E8" s="16">
        <v>725</v>
      </c>
      <c r="F8" s="43"/>
      <c r="G8" s="16">
        <v>635</v>
      </c>
      <c r="H8" s="43"/>
      <c r="I8" s="16">
        <v>602</v>
      </c>
      <c r="J8" s="43"/>
      <c r="K8" s="16">
        <v>560</v>
      </c>
      <c r="L8" s="29"/>
      <c r="M8" s="17">
        <v>517</v>
      </c>
      <c r="N8" s="43"/>
      <c r="O8" s="16">
        <v>517</v>
      </c>
      <c r="P8" s="43"/>
      <c r="Q8" s="16">
        <v>476</v>
      </c>
      <c r="R8" s="52"/>
      <c r="T8" s="52"/>
      <c r="V8" s="52"/>
      <c r="W8" s="53">
        <v>392</v>
      </c>
      <c r="X8" s="52"/>
      <c r="Y8" s="53">
        <v>414</v>
      </c>
      <c r="Z8" s="54"/>
      <c r="AA8" s="53">
        <v>527</v>
      </c>
      <c r="AB8" s="55" t="s">
        <v>3</v>
      </c>
      <c r="AC8" s="55">
        <f>24308/AM1</f>
        <v>602.57958001879035</v>
      </c>
      <c r="AD8" s="55" t="s">
        <v>3</v>
      </c>
      <c r="AE8" s="55">
        <f>22554/AM1</f>
        <v>559.09905577356415</v>
      </c>
      <c r="AF8" s="55" t="s">
        <v>6</v>
      </c>
      <c r="AG8" s="55">
        <f>29104/AM1</f>
        <v>721.46931450003592</v>
      </c>
      <c r="AH8" s="55" t="s">
        <v>6</v>
      </c>
      <c r="AI8" s="55">
        <f>48989/AM1+1</f>
        <v>1215.4055885116225</v>
      </c>
      <c r="AJ8" s="50" t="s">
        <v>6</v>
      </c>
      <c r="AK8" s="55">
        <f>37124/AM1+1</f>
        <v>921.27992136817397</v>
      </c>
      <c r="AL8" s="50" t="s">
        <v>6</v>
      </c>
    </row>
    <row r="9" spans="1:40" x14ac:dyDescent="0.2">
      <c r="A9" s="56" t="s">
        <v>25</v>
      </c>
      <c r="B9" s="56" t="s">
        <v>135</v>
      </c>
      <c r="C9" s="56" t="s">
        <v>26</v>
      </c>
      <c r="D9" s="133"/>
      <c r="E9" s="58">
        <f>SUM(E2:E8)</f>
        <v>8889</v>
      </c>
      <c r="F9" s="133"/>
      <c r="G9" s="58">
        <f>SUM(G2:G8)</f>
        <v>8653</v>
      </c>
      <c r="H9" s="133"/>
      <c r="I9" s="58">
        <f>SUM(I2:I8)</f>
        <v>8344</v>
      </c>
      <c r="J9" s="133"/>
      <c r="K9" s="58">
        <f>SUM(K2:K8)</f>
        <v>7968</v>
      </c>
      <c r="L9" s="123"/>
      <c r="M9" s="122">
        <f>SUM(M2:M8)</f>
        <v>7704</v>
      </c>
      <c r="N9" s="133"/>
      <c r="O9" s="58">
        <f>SUM(O2:O8)</f>
        <v>7704</v>
      </c>
      <c r="P9" s="133"/>
      <c r="Q9" s="58">
        <f>SUM(Q2:Q8)</f>
        <v>7528</v>
      </c>
      <c r="R9" s="48"/>
      <c r="S9" s="33"/>
      <c r="T9" s="48"/>
      <c r="U9" s="33"/>
      <c r="V9" s="48"/>
      <c r="W9" s="33" t="e">
        <f>SUM(W3:W4:#REF!)-#REF!-#REF!</f>
        <v>#REF!</v>
      </c>
      <c r="X9" s="48"/>
      <c r="Y9" s="33" t="e">
        <f>SUM(Y3:Y4:#REF!)-#REF!-#REF!</f>
        <v>#REF!</v>
      </c>
      <c r="AA9" s="33" t="e">
        <f>SUM(AA3:AA4:#REF!)-#REF!-#REF!</f>
        <v>#REF!</v>
      </c>
      <c r="AB9" s="23" t="s">
        <v>3</v>
      </c>
      <c r="AC9" s="33" t="e">
        <f>SUM(AC3:AC4:#REF!)-#REF!-#REF!-1</f>
        <v>#REF!</v>
      </c>
      <c r="AD9" s="23" t="s">
        <v>3</v>
      </c>
      <c r="AE9" s="33">
        <f>SUM(AE4:AE8)</f>
        <v>3065.3273805834915</v>
      </c>
      <c r="AF9" s="23" t="s">
        <v>6</v>
      </c>
      <c r="AG9" s="33">
        <f>SUM(AG4:AG8)</f>
        <v>3345.1743807000021</v>
      </c>
      <c r="AH9" s="23" t="s">
        <v>6</v>
      </c>
      <c r="AI9" s="19">
        <f>SUM(AI4:AI8)-2</f>
        <v>3035.7288937255671</v>
      </c>
      <c r="AJ9" s="25" t="s">
        <v>6</v>
      </c>
      <c r="AK9" s="19">
        <f>SUM(AK4:AK8)-1</f>
        <v>2563.6156757949329</v>
      </c>
      <c r="AL9" s="14" t="s">
        <v>6</v>
      </c>
      <c r="AM9" s="26">
        <f>236182/AM1</f>
        <v>5854.7988467993227</v>
      </c>
      <c r="AN9" s="26">
        <f>214263/AM1</f>
        <v>5311.4410298488592</v>
      </c>
    </row>
    <row r="10" spans="1:40" s="87" customFormat="1" ht="25.5" x14ac:dyDescent="0.2">
      <c r="A10" s="66" t="s">
        <v>27</v>
      </c>
      <c r="B10" s="66" t="s">
        <v>137</v>
      </c>
      <c r="C10" s="66" t="s">
        <v>28</v>
      </c>
      <c r="D10" s="134"/>
      <c r="E10" s="68">
        <v>64.27</v>
      </c>
      <c r="F10" s="134"/>
      <c r="G10" s="68">
        <v>62.57</v>
      </c>
      <c r="H10" s="134"/>
      <c r="I10" s="68">
        <v>60.33</v>
      </c>
      <c r="J10" s="134"/>
      <c r="K10" s="68">
        <v>57.62</v>
      </c>
      <c r="L10" s="71"/>
      <c r="M10" s="69">
        <v>55.71</v>
      </c>
      <c r="N10" s="134"/>
      <c r="O10" s="68">
        <v>55.71</v>
      </c>
      <c r="P10" s="134"/>
      <c r="Q10" s="68">
        <v>54.43</v>
      </c>
      <c r="R10" s="146"/>
      <c r="S10" s="23"/>
      <c r="T10" s="146"/>
      <c r="U10" s="23"/>
      <c r="V10" s="146"/>
      <c r="W10" s="23">
        <v>289.33</v>
      </c>
      <c r="X10" s="146"/>
      <c r="Y10" s="23">
        <v>256.52999999999997</v>
      </c>
      <c r="Z10" s="49"/>
      <c r="AA10" s="23">
        <v>256.52999999999997</v>
      </c>
      <c r="AB10" s="23" t="s">
        <v>3</v>
      </c>
      <c r="AC10" s="23">
        <v>239.64</v>
      </c>
      <c r="AD10" s="23" t="s">
        <v>3</v>
      </c>
      <c r="AE10" s="23">
        <v>217.47</v>
      </c>
      <c r="AF10" s="22"/>
      <c r="AG10" s="23">
        <v>238.97</v>
      </c>
      <c r="AH10" s="23" t="s">
        <v>6</v>
      </c>
      <c r="AI10" s="22">
        <v>206.87</v>
      </c>
      <c r="AJ10" s="25" t="s">
        <v>6</v>
      </c>
      <c r="AK10" s="22">
        <v>178.36</v>
      </c>
      <c r="AL10" s="25" t="s">
        <v>6</v>
      </c>
    </row>
    <row r="11" spans="1:40" s="87" customFormat="1" x14ac:dyDescent="0.2">
      <c r="A11" s="66" t="s">
        <v>29</v>
      </c>
      <c r="B11" s="66" t="s">
        <v>30</v>
      </c>
      <c r="C11" s="66" t="s">
        <v>31</v>
      </c>
      <c r="D11" s="134"/>
      <c r="E11" s="73">
        <v>59.9</v>
      </c>
      <c r="F11" s="134"/>
      <c r="G11" s="73">
        <v>59.95</v>
      </c>
      <c r="H11" s="134"/>
      <c r="I11" s="73">
        <v>52.9</v>
      </c>
      <c r="J11" s="134"/>
      <c r="K11" s="73">
        <v>51.9</v>
      </c>
      <c r="L11" s="71"/>
      <c r="M11" s="66">
        <v>48.65</v>
      </c>
      <c r="N11" s="134"/>
      <c r="O11" s="73">
        <v>48.65</v>
      </c>
      <c r="P11" s="134"/>
      <c r="Q11" s="73">
        <v>44.67</v>
      </c>
      <c r="R11" s="146"/>
      <c r="T11" s="146"/>
      <c r="V11" s="146"/>
      <c r="W11" s="87">
        <v>186.9</v>
      </c>
      <c r="X11" s="146"/>
      <c r="Y11" s="87">
        <v>163.9</v>
      </c>
      <c r="Z11" s="49"/>
      <c r="AA11" s="87">
        <v>167.5</v>
      </c>
      <c r="AB11" s="147" t="s">
        <v>3</v>
      </c>
      <c r="AC11" s="147">
        <v>173.53</v>
      </c>
      <c r="AD11" s="147" t="s">
        <v>3</v>
      </c>
      <c r="AE11" s="147">
        <v>160.63999999999999</v>
      </c>
      <c r="AF11" s="23" t="s">
        <v>6</v>
      </c>
      <c r="AG11" s="23">
        <v>186.17</v>
      </c>
      <c r="AH11" s="23" t="s">
        <v>6</v>
      </c>
      <c r="AI11" s="23">
        <v>160.63999999999999</v>
      </c>
      <c r="AJ11" s="25" t="s">
        <v>6</v>
      </c>
      <c r="AK11" s="23">
        <v>132.87</v>
      </c>
      <c r="AL11" s="148" t="s">
        <v>6</v>
      </c>
    </row>
    <row r="12" spans="1:40" x14ac:dyDescent="0.2">
      <c r="A12" s="64" t="s">
        <v>74</v>
      </c>
      <c r="B12" s="64" t="s">
        <v>78</v>
      </c>
      <c r="C12" s="64" t="s">
        <v>77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60"/>
      <c r="M12" s="59">
        <v>138300053</v>
      </c>
      <c r="N12" s="136"/>
      <c r="O12" s="135">
        <v>138300053</v>
      </c>
      <c r="P12" s="136"/>
      <c r="Q12" s="135">
        <v>138300053</v>
      </c>
      <c r="R12" s="48"/>
      <c r="S12" s="33"/>
      <c r="T12" s="48"/>
      <c r="U12" s="33"/>
      <c r="V12" s="48"/>
      <c r="W12" s="33">
        <v>24432025</v>
      </c>
      <c r="X12" s="48"/>
      <c r="Y12" s="33">
        <v>24432025</v>
      </c>
      <c r="AA12" s="33">
        <v>24432025</v>
      </c>
      <c r="AB12" s="23" t="s">
        <v>3</v>
      </c>
      <c r="AC12" s="33">
        <v>24432025</v>
      </c>
      <c r="AD12" s="23" t="s">
        <v>3</v>
      </c>
      <c r="AE12" s="33">
        <v>24458667</v>
      </c>
      <c r="AF12" s="23" t="s">
        <v>6</v>
      </c>
      <c r="AG12" s="33">
        <v>24402157</v>
      </c>
      <c r="AH12" s="23" t="s">
        <v>6</v>
      </c>
      <c r="AI12" s="33">
        <v>25783578</v>
      </c>
      <c r="AJ12" s="25" t="s">
        <v>6</v>
      </c>
      <c r="AK12" s="33">
        <v>25783578</v>
      </c>
      <c r="AL12" s="14" t="s">
        <v>6</v>
      </c>
    </row>
    <row r="14" spans="1:40" ht="12.75" customHeight="1" x14ac:dyDescent="0.2">
      <c r="B14" s="88"/>
      <c r="C14" s="89"/>
      <c r="D14" s="90"/>
      <c r="E14" s="91"/>
      <c r="F14" s="90"/>
      <c r="G14" s="91"/>
      <c r="H14" s="90"/>
      <c r="I14" s="91"/>
      <c r="J14" s="90"/>
      <c r="K14" s="149"/>
      <c r="L14" s="88"/>
      <c r="M14" s="92"/>
      <c r="N14" s="90"/>
      <c r="O14" s="91"/>
      <c r="P14" s="90"/>
      <c r="Q14" s="149"/>
      <c r="R14" s="88"/>
      <c r="S14" s="93"/>
      <c r="T14" s="88"/>
      <c r="V14" s="26"/>
      <c r="W14" s="23"/>
      <c r="X14" s="14"/>
      <c r="Y14" s="23"/>
      <c r="Z14" s="47"/>
      <c r="AA14" s="47"/>
      <c r="AB14" s="47"/>
      <c r="AC14" s="47"/>
      <c r="AD14" s="47"/>
      <c r="AE14" s="47"/>
      <c r="AF14" s="47"/>
      <c r="AG14" s="14"/>
    </row>
  </sheetData>
  <phoneticPr fontId="2" type="noConversion"/>
  <pageMargins left="0.25" right="0.25" top="0.984251969" bottom="0.984251969" header="0.4921259845" footer="0.4921259845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N14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5" style="26" hidden="1" customWidth="1"/>
    <col min="2" max="2" width="28.7109375" style="26" customWidth="1"/>
    <col min="3" max="3" width="26.42578125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9.140625" style="86" hidden="1" customWidth="1"/>
    <col min="13" max="13" width="9.140625" style="26" hidden="1" customWidth="1"/>
    <col min="14" max="14" width="11.42578125" style="85" customWidth="1"/>
    <col min="15" max="15" width="13" style="45" customWidth="1"/>
    <col min="16" max="16" width="11.42578125" style="85" customWidth="1"/>
    <col min="17" max="17" width="12.42578125" style="45" customWidth="1"/>
    <col min="18" max="18" width="11.42578125" style="86" customWidth="1"/>
    <col min="19" max="19" width="12.28515625" style="26" customWidth="1"/>
    <col min="20" max="20" width="11.42578125" style="86" customWidth="1"/>
    <col min="21" max="21" width="11.42578125" style="26" customWidth="1"/>
    <col min="22" max="22" width="9.140625" style="86" hidden="1" customWidth="1"/>
    <col min="23" max="23" width="9.140625" style="26" hidden="1" customWidth="1"/>
    <col min="24" max="24" width="9.140625" style="86" hidden="1" customWidth="1"/>
    <col min="25" max="25" width="9.140625" style="26" hidden="1" customWidth="1"/>
    <col min="26" max="26" width="11.5703125" style="49" hidden="1" customWidth="1"/>
    <col min="27" max="27" width="9.140625" style="26" hidden="1" customWidth="1"/>
    <col min="28" max="28" width="9.140625" style="49" hidden="1" customWidth="1"/>
    <col min="29" max="29" width="9.140625" style="26" hidden="1" customWidth="1"/>
    <col min="30" max="30" width="11.5703125" style="87" hidden="1" customWidth="1"/>
    <col min="31" max="33" width="9.140625" style="26" hidden="1" customWidth="1"/>
    <col min="34" max="37" width="11.42578125" style="26" hidden="1" customWidth="1"/>
    <col min="38" max="38" width="11.42578125" style="26" customWidth="1"/>
    <col min="39" max="40" width="9.140625" style="26" hidden="1" customWidth="1"/>
    <col min="41" max="16384" width="11.42578125" style="26"/>
  </cols>
  <sheetData>
    <row r="1" spans="1:40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38717</v>
      </c>
      <c r="F1" s="3"/>
      <c r="G1" s="137">
        <v>38664</v>
      </c>
      <c r="H1" s="3"/>
      <c r="I1" s="137">
        <v>38607</v>
      </c>
      <c r="J1" s="3"/>
      <c r="K1" s="137">
        <v>38475</v>
      </c>
      <c r="L1" s="138"/>
      <c r="M1" s="5">
        <v>38075</v>
      </c>
      <c r="N1" s="3"/>
      <c r="O1" s="137">
        <v>38427</v>
      </c>
      <c r="P1" s="3"/>
      <c r="Q1" s="137">
        <v>38352</v>
      </c>
      <c r="R1" s="2"/>
      <c r="S1" s="2"/>
      <c r="T1" s="7"/>
      <c r="U1" s="8"/>
      <c r="V1" s="7"/>
      <c r="W1" s="8">
        <v>36420</v>
      </c>
      <c r="X1" s="7"/>
      <c r="Y1" s="8">
        <v>36341</v>
      </c>
      <c r="Z1" s="8"/>
      <c r="AA1" s="8">
        <v>36231</v>
      </c>
      <c r="AB1" s="8"/>
      <c r="AC1" s="8">
        <v>36160</v>
      </c>
      <c r="AD1" s="9"/>
      <c r="AE1" s="8">
        <v>36052</v>
      </c>
      <c r="AF1" s="10" t="s">
        <v>3</v>
      </c>
      <c r="AG1" s="11">
        <v>35976</v>
      </c>
      <c r="AH1" s="10" t="s">
        <v>3</v>
      </c>
      <c r="AI1" s="11">
        <v>35884</v>
      </c>
      <c r="AJ1" s="12" t="s">
        <v>3</v>
      </c>
      <c r="AK1" s="11">
        <v>35795</v>
      </c>
      <c r="AM1" s="13">
        <v>40.3399</v>
      </c>
      <c r="AN1" s="13">
        <v>6.5595699999999999</v>
      </c>
    </row>
    <row r="2" spans="1:40" x14ac:dyDescent="0.2">
      <c r="A2" s="14" t="s">
        <v>61</v>
      </c>
      <c r="B2" s="14" t="str">
        <f>A2</f>
        <v>Bertelsmann (1)</v>
      </c>
      <c r="C2" s="14" t="str">
        <f>A2</f>
        <v>Bertelsmann (1)</v>
      </c>
      <c r="D2" s="15" t="s">
        <v>4</v>
      </c>
      <c r="E2" s="16">
        <v>2090</v>
      </c>
      <c r="F2" s="15" t="s">
        <v>4</v>
      </c>
      <c r="G2" s="16">
        <v>1965</v>
      </c>
      <c r="H2" s="15" t="s">
        <v>4</v>
      </c>
      <c r="I2" s="16">
        <v>1902</v>
      </c>
      <c r="J2" s="15" t="s">
        <v>4</v>
      </c>
      <c r="K2" s="16">
        <v>1893</v>
      </c>
      <c r="L2" s="32" t="s">
        <v>4</v>
      </c>
      <c r="M2" s="17">
        <v>1673</v>
      </c>
      <c r="N2" s="15" t="s">
        <v>4</v>
      </c>
      <c r="O2" s="16">
        <v>1885</v>
      </c>
      <c r="P2" s="15" t="s">
        <v>4</v>
      </c>
      <c r="Q2" s="16">
        <v>1885</v>
      </c>
      <c r="R2" s="20"/>
      <c r="S2" s="21"/>
      <c r="T2" s="20"/>
      <c r="U2" s="21"/>
      <c r="V2" s="20"/>
      <c r="W2" s="21"/>
      <c r="X2" s="20"/>
      <c r="Y2" s="21"/>
      <c r="Z2" s="21"/>
      <c r="AA2" s="21"/>
      <c r="AB2" s="21"/>
      <c r="AC2" s="21"/>
      <c r="AD2" s="22"/>
      <c r="AE2" s="21"/>
      <c r="AF2" s="23"/>
      <c r="AG2" s="24"/>
      <c r="AH2" s="23"/>
      <c r="AI2" s="24"/>
      <c r="AJ2" s="25"/>
      <c r="AK2" s="24"/>
    </row>
    <row r="3" spans="1:40" x14ac:dyDescent="0.2">
      <c r="A3" s="14" t="s">
        <v>79</v>
      </c>
      <c r="B3" s="14" t="str">
        <f>A3</f>
        <v>Total</v>
      </c>
      <c r="C3" s="14" t="str">
        <f>A3</f>
        <v>Total</v>
      </c>
      <c r="D3" s="43">
        <v>212.2</v>
      </c>
      <c r="E3" s="16">
        <v>4984</v>
      </c>
      <c r="F3" s="43">
        <v>214.4</v>
      </c>
      <c r="G3" s="16">
        <v>5035</v>
      </c>
      <c r="H3" s="43">
        <v>218.1</v>
      </c>
      <c r="I3" s="16">
        <v>5122</v>
      </c>
      <c r="J3" s="43">
        <v>173.4</v>
      </c>
      <c r="K3" s="16">
        <v>4128</v>
      </c>
      <c r="L3" s="29">
        <v>148.6</v>
      </c>
      <c r="M3" s="17">
        <v>3490</v>
      </c>
      <c r="N3" s="43">
        <v>180.4</v>
      </c>
      <c r="O3" s="16">
        <v>4237</v>
      </c>
      <c r="P3" s="43">
        <v>160.69999999999999</v>
      </c>
      <c r="Q3" s="16">
        <v>3774</v>
      </c>
      <c r="R3" s="29"/>
      <c r="S3" s="30"/>
      <c r="T3" s="29"/>
      <c r="U3" s="30"/>
      <c r="V3" s="29">
        <v>120.9</v>
      </c>
      <c r="W3" s="30">
        <v>2351</v>
      </c>
      <c r="X3" s="29">
        <v>125.1</v>
      </c>
      <c r="Y3" s="30">
        <v>2399</v>
      </c>
      <c r="Z3" s="44">
        <f>460.3/4.5</f>
        <v>102.28888888888889</v>
      </c>
      <c r="AA3" s="30">
        <v>1921</v>
      </c>
      <c r="AB3" s="32">
        <v>86.76</v>
      </c>
      <c r="AC3" s="33">
        <v>1590</v>
      </c>
      <c r="AD3" s="32" t="e">
        <f>12875/(#REF!*4.5)</f>
        <v>#REF!</v>
      </c>
      <c r="AE3" s="33" t="e">
        <f>52109/#REF!</f>
        <v>#REF!</v>
      </c>
      <c r="AF3" s="32" t="e">
        <f>15275/(#REF!*4.5)</f>
        <v>#REF!</v>
      </c>
      <c r="AG3" s="33" t="e">
        <f>61445/#REF!</f>
        <v>#REF!</v>
      </c>
      <c r="AH3" s="32" t="e">
        <f>13950/#REF!</f>
        <v>#REF!</v>
      </c>
      <c r="AI3" s="33" t="e">
        <f>38455/#REF!</f>
        <v>#REF!</v>
      </c>
      <c r="AJ3" s="29" t="e">
        <f>13675/#REF!</f>
        <v>#REF!</v>
      </c>
      <c r="AK3" s="33" t="e">
        <f>35072/#REF!</f>
        <v>#REF!</v>
      </c>
      <c r="AL3" s="14" t="s">
        <v>6</v>
      </c>
    </row>
    <row r="4" spans="1:40" x14ac:dyDescent="0.2">
      <c r="A4" s="14" t="s">
        <v>73</v>
      </c>
      <c r="B4" s="14" t="str">
        <f>A4</f>
        <v xml:space="preserve">Suez </v>
      </c>
      <c r="C4" s="14" t="str">
        <f>A4</f>
        <v xml:space="preserve">Suez </v>
      </c>
      <c r="D4" s="43">
        <v>26.3</v>
      </c>
      <c r="E4" s="16">
        <v>2418</v>
      </c>
      <c r="F4" s="43">
        <v>22.66</v>
      </c>
      <c r="G4" s="16">
        <v>2084</v>
      </c>
      <c r="H4" s="43">
        <v>24.69</v>
      </c>
      <c r="I4" s="16">
        <v>2043</v>
      </c>
      <c r="J4" s="43">
        <v>21.35</v>
      </c>
      <c r="K4" s="16">
        <v>1563</v>
      </c>
      <c r="L4" s="29">
        <v>16.54</v>
      </c>
      <c r="M4" s="17">
        <v>1198</v>
      </c>
      <c r="N4" s="43">
        <v>20.22</v>
      </c>
      <c r="O4" s="16">
        <v>1465</v>
      </c>
      <c r="P4" s="43">
        <v>19.62</v>
      </c>
      <c r="Q4" s="16">
        <v>1422</v>
      </c>
      <c r="R4" s="29"/>
      <c r="S4" s="33"/>
      <c r="T4" s="29"/>
      <c r="U4" s="33"/>
      <c r="V4" s="29">
        <v>159.9</v>
      </c>
      <c r="W4" s="33">
        <v>2134</v>
      </c>
      <c r="X4" s="29">
        <v>174.9</v>
      </c>
      <c r="Y4" s="33">
        <v>2278</v>
      </c>
      <c r="Z4" s="32">
        <v>173.2</v>
      </c>
      <c r="AA4" s="33">
        <v>2197</v>
      </c>
      <c r="AB4" s="32">
        <f>1148/AN1</f>
        <v>175.01147178854711</v>
      </c>
      <c r="AC4" s="33">
        <f>85728/AM1</f>
        <v>2125.1416091760266</v>
      </c>
      <c r="AD4" s="32">
        <f>1029/AN1</f>
        <v>156.87003873729529</v>
      </c>
      <c r="AE4" s="33">
        <f>76396/AM1</f>
        <v>1893.8073718576397</v>
      </c>
      <c r="AF4" s="32">
        <f>995/AN1</f>
        <v>151.68677215122332</v>
      </c>
      <c r="AG4" s="33">
        <f>73440/AM1</f>
        <v>1820.5300459346702</v>
      </c>
      <c r="AH4" s="32">
        <f>889/AN1</f>
        <v>135.52717632405782</v>
      </c>
      <c r="AI4" s="33">
        <f>41140/AM1</f>
        <v>1019.8339609171069</v>
      </c>
      <c r="AJ4" s="29">
        <f>666/AN1</f>
        <v>101.53104548011531</v>
      </c>
      <c r="AK4" s="33">
        <f>28071/AM1</f>
        <v>695.86191339096035</v>
      </c>
      <c r="AL4" s="14" t="s">
        <v>6</v>
      </c>
    </row>
    <row r="5" spans="1:40" x14ac:dyDescent="0.2">
      <c r="A5" s="14" t="s">
        <v>80</v>
      </c>
      <c r="B5" s="14" t="str">
        <f>A5</f>
        <v>Imerys (2)</v>
      </c>
      <c r="C5" s="14" t="str">
        <f>A5</f>
        <v>Imerys (2)</v>
      </c>
      <c r="D5" s="43">
        <v>61.1</v>
      </c>
      <c r="E5" s="16">
        <v>1023</v>
      </c>
      <c r="F5" s="43">
        <v>57.85</v>
      </c>
      <c r="G5" s="16">
        <v>969</v>
      </c>
      <c r="H5" s="43">
        <v>61.05</v>
      </c>
      <c r="I5" s="16">
        <v>1022</v>
      </c>
      <c r="J5" s="43">
        <v>56.6</v>
      </c>
      <c r="K5" s="16">
        <v>948</v>
      </c>
      <c r="L5" s="29">
        <v>47.22</v>
      </c>
      <c r="M5" s="17">
        <v>791</v>
      </c>
      <c r="N5" s="43">
        <v>59.1</v>
      </c>
      <c r="O5" s="16">
        <v>990</v>
      </c>
      <c r="P5" s="43">
        <v>61.75</v>
      </c>
      <c r="Q5" s="16">
        <v>1034</v>
      </c>
      <c r="R5" s="29"/>
      <c r="S5" s="30"/>
      <c r="T5" s="29"/>
      <c r="U5" s="30"/>
      <c r="V5" s="29">
        <v>149.1</v>
      </c>
      <c r="W5" s="30">
        <v>624</v>
      </c>
      <c r="X5" s="29">
        <v>144</v>
      </c>
      <c r="Y5" s="30">
        <v>603</v>
      </c>
      <c r="Z5" s="31">
        <v>99.6</v>
      </c>
      <c r="AA5" s="30">
        <v>417</v>
      </c>
      <c r="AB5" s="32">
        <f>560/AN1</f>
        <v>85.371449652949821</v>
      </c>
      <c r="AC5" s="33">
        <f>14416/AM1</f>
        <v>357.36330531310193</v>
      </c>
      <c r="AD5" s="32">
        <f>563/AN1</f>
        <v>85.828796704662039</v>
      </c>
      <c r="AE5" s="33">
        <f>14484/AM1</f>
        <v>359.04898128155992</v>
      </c>
      <c r="AF5" s="32">
        <f>831/AN1</f>
        <v>126.68513332428803</v>
      </c>
      <c r="AG5" s="33">
        <f>19136/AM1</f>
        <v>474.3690490060709</v>
      </c>
      <c r="AH5" s="32">
        <f>818/AN1</f>
        <v>124.7032961002017</v>
      </c>
      <c r="AI5" s="33">
        <f>16662/AM1</f>
        <v>413.04019097717151</v>
      </c>
      <c r="AJ5" s="29">
        <f>748/AN1</f>
        <v>114.03186489358296</v>
      </c>
      <c r="AK5" s="33">
        <f>15243/AM1</f>
        <v>377.8640998118488</v>
      </c>
      <c r="AL5" s="14" t="s">
        <v>6</v>
      </c>
    </row>
    <row r="6" spans="1:40" x14ac:dyDescent="0.2">
      <c r="A6" s="14" t="s">
        <v>81</v>
      </c>
      <c r="B6" s="14" t="str">
        <f>A6</f>
        <v>Lafarge</v>
      </c>
      <c r="C6" s="14" t="str">
        <f>A6</f>
        <v>Lafarge</v>
      </c>
      <c r="D6" s="43">
        <v>76</v>
      </c>
      <c r="E6" s="132">
        <v>450</v>
      </c>
      <c r="F6" s="43"/>
      <c r="G6" s="132" t="s">
        <v>4</v>
      </c>
      <c r="H6" s="43"/>
      <c r="I6" s="132" t="s">
        <v>4</v>
      </c>
      <c r="J6" s="43"/>
      <c r="K6" s="132" t="s">
        <v>4</v>
      </c>
      <c r="L6" s="29"/>
      <c r="M6" s="17">
        <v>0</v>
      </c>
      <c r="N6" s="43"/>
      <c r="O6" s="132" t="s">
        <v>4</v>
      </c>
      <c r="P6" s="43"/>
      <c r="Q6" s="132" t="s">
        <v>4</v>
      </c>
      <c r="R6" s="29"/>
      <c r="S6" s="47"/>
      <c r="T6" s="29"/>
      <c r="U6" s="47"/>
      <c r="V6" s="47"/>
      <c r="W6" s="47" t="s">
        <v>16</v>
      </c>
      <c r="X6" s="48"/>
      <c r="Y6" s="47" t="s">
        <v>16</v>
      </c>
      <c r="AA6" s="47" t="s">
        <v>16</v>
      </c>
      <c r="AB6" s="23"/>
      <c r="AC6" s="47" t="s">
        <v>16</v>
      </c>
      <c r="AD6" s="23"/>
      <c r="AE6" s="47"/>
      <c r="AF6" s="23"/>
      <c r="AG6" s="47"/>
      <c r="AH6" s="23"/>
      <c r="AI6" s="33"/>
      <c r="AJ6" s="25"/>
      <c r="AK6" s="33"/>
      <c r="AL6" s="14"/>
    </row>
    <row r="7" spans="1:40" x14ac:dyDescent="0.2">
      <c r="A7" s="14" t="s">
        <v>17</v>
      </c>
      <c r="B7" s="14" t="s">
        <v>18</v>
      </c>
      <c r="C7" s="14" t="s">
        <v>19</v>
      </c>
      <c r="D7" s="43"/>
      <c r="E7" s="16">
        <v>89</v>
      </c>
      <c r="F7" s="43"/>
      <c r="G7" s="16">
        <v>72</v>
      </c>
      <c r="H7" s="43"/>
      <c r="I7" s="16">
        <v>70</v>
      </c>
      <c r="J7" s="43"/>
      <c r="K7" s="16">
        <v>125</v>
      </c>
      <c r="L7" s="29"/>
      <c r="M7" s="17">
        <v>35</v>
      </c>
      <c r="N7" s="43"/>
      <c r="O7" s="16">
        <v>62</v>
      </c>
      <c r="P7" s="43"/>
      <c r="Q7" s="16">
        <v>49</v>
      </c>
      <c r="R7" s="48"/>
      <c r="S7" s="30"/>
      <c r="T7" s="48"/>
      <c r="U7" s="30"/>
      <c r="V7" s="48"/>
      <c r="W7" s="30">
        <v>266</v>
      </c>
      <c r="X7" s="48"/>
      <c r="Y7" s="30">
        <v>257</v>
      </c>
      <c r="AA7" s="30">
        <f>25+190</f>
        <v>215</v>
      </c>
      <c r="AB7" s="23" t="s">
        <v>3</v>
      </c>
      <c r="AC7" s="33">
        <f>7517/AM1+1</f>
        <v>187.34156257204407</v>
      </c>
      <c r="AD7" s="23" t="s">
        <v>3</v>
      </c>
      <c r="AE7" s="33">
        <f>10221/AM1</f>
        <v>253.37197167072799</v>
      </c>
      <c r="AF7" s="23" t="s">
        <v>6</v>
      </c>
      <c r="AG7" s="33">
        <f>13264/AM1</f>
        <v>328.80597125922475</v>
      </c>
      <c r="AH7" s="23" t="s">
        <v>6</v>
      </c>
      <c r="AI7" s="33">
        <f>15670/AM1+1</f>
        <v>389.44915331966615</v>
      </c>
      <c r="AJ7" s="25" t="s">
        <v>6</v>
      </c>
      <c r="AK7" s="33">
        <f>22978/AM1</f>
        <v>569.60974122394953</v>
      </c>
      <c r="AL7" s="14" t="s">
        <v>6</v>
      </c>
    </row>
    <row r="8" spans="1:40" s="53" customFormat="1" x14ac:dyDescent="0.2">
      <c r="A8" s="50" t="s">
        <v>20</v>
      </c>
      <c r="B8" s="50" t="s">
        <v>21</v>
      </c>
      <c r="C8" s="50" t="s">
        <v>22</v>
      </c>
      <c r="D8" s="43"/>
      <c r="E8" s="16">
        <v>56</v>
      </c>
      <c r="F8" s="43"/>
      <c r="G8" s="16">
        <v>402</v>
      </c>
      <c r="H8" s="43"/>
      <c r="I8" s="16">
        <v>607</v>
      </c>
      <c r="J8" s="43"/>
      <c r="K8" s="16">
        <v>613</v>
      </c>
      <c r="L8" s="29"/>
      <c r="M8" s="17">
        <v>517</v>
      </c>
      <c r="N8" s="43"/>
      <c r="O8" s="16">
        <v>786</v>
      </c>
      <c r="P8" s="43"/>
      <c r="Q8" s="16">
        <v>725</v>
      </c>
      <c r="R8" s="52"/>
      <c r="T8" s="52"/>
      <c r="V8" s="52"/>
      <c r="W8" s="53">
        <v>392</v>
      </c>
      <c r="X8" s="52"/>
      <c r="Y8" s="53">
        <v>414</v>
      </c>
      <c r="Z8" s="54"/>
      <c r="AA8" s="53">
        <v>527</v>
      </c>
      <c r="AB8" s="55" t="s">
        <v>3</v>
      </c>
      <c r="AC8" s="55">
        <f>24308/AM1</f>
        <v>602.57958001879035</v>
      </c>
      <c r="AD8" s="55" t="s">
        <v>3</v>
      </c>
      <c r="AE8" s="55">
        <f>22554/AM1</f>
        <v>559.09905577356415</v>
      </c>
      <c r="AF8" s="55" t="s">
        <v>6</v>
      </c>
      <c r="AG8" s="55">
        <f>29104/AM1</f>
        <v>721.46931450003592</v>
      </c>
      <c r="AH8" s="55" t="s">
        <v>6</v>
      </c>
      <c r="AI8" s="55">
        <f>48989/AM1+1</f>
        <v>1215.4055885116225</v>
      </c>
      <c r="AJ8" s="50" t="s">
        <v>6</v>
      </c>
      <c r="AK8" s="55">
        <f>37124/AM1+1</f>
        <v>921.27992136817397</v>
      </c>
      <c r="AL8" s="50" t="s">
        <v>6</v>
      </c>
    </row>
    <row r="9" spans="1:40" s="145" customFormat="1" x14ac:dyDescent="0.2">
      <c r="A9" s="56" t="s">
        <v>25</v>
      </c>
      <c r="B9" s="56" t="s">
        <v>135</v>
      </c>
      <c r="C9" s="56" t="s">
        <v>26</v>
      </c>
      <c r="D9" s="133"/>
      <c r="E9" s="58">
        <f>SUM(E2:E8)</f>
        <v>11110</v>
      </c>
      <c r="F9" s="133"/>
      <c r="G9" s="58">
        <f>SUM(G2:G8)</f>
        <v>10527</v>
      </c>
      <c r="H9" s="133"/>
      <c r="I9" s="58">
        <f>SUM(I2:I8)</f>
        <v>10766</v>
      </c>
      <c r="J9" s="133"/>
      <c r="K9" s="58">
        <f>SUM(K2:K8)</f>
        <v>9270</v>
      </c>
      <c r="L9" s="123"/>
      <c r="M9" s="122">
        <f>SUM(M2:M8)</f>
        <v>7704</v>
      </c>
      <c r="N9" s="133"/>
      <c r="O9" s="58">
        <f>SUM(O2:O8)</f>
        <v>9425</v>
      </c>
      <c r="P9" s="133"/>
      <c r="Q9" s="58">
        <f>SUM(Q2:Q8)</f>
        <v>8889</v>
      </c>
      <c r="R9" s="139"/>
      <c r="S9" s="140"/>
      <c r="T9" s="139"/>
      <c r="U9" s="140"/>
      <c r="V9" s="139"/>
      <c r="W9" s="140" t="e">
        <f>SUM(W3:W4:#REF!)-#REF!-#REF!</f>
        <v>#REF!</v>
      </c>
      <c r="X9" s="139"/>
      <c r="Y9" s="140" t="e">
        <f>SUM(Y3:Y4:#REF!)-#REF!-#REF!</f>
        <v>#REF!</v>
      </c>
      <c r="Z9" s="141"/>
      <c r="AA9" s="140" t="e">
        <f>SUM(AA3:AA4:#REF!)-#REF!-#REF!</f>
        <v>#REF!</v>
      </c>
      <c r="AB9" s="142" t="s">
        <v>3</v>
      </c>
      <c r="AC9" s="140" t="e">
        <f>SUM(AC3:AC4:#REF!)-#REF!-#REF!-1</f>
        <v>#REF!</v>
      </c>
      <c r="AD9" s="142" t="s">
        <v>3</v>
      </c>
      <c r="AE9" s="140">
        <f>SUM(AE4:AE8)</f>
        <v>3065.3273805834915</v>
      </c>
      <c r="AF9" s="142" t="s">
        <v>6</v>
      </c>
      <c r="AG9" s="140">
        <f>SUM(AG4:AG8)</f>
        <v>3345.1743807000021</v>
      </c>
      <c r="AH9" s="142" t="s">
        <v>6</v>
      </c>
      <c r="AI9" s="124">
        <f>SUM(AI4:AI8)-2</f>
        <v>3035.7288937255671</v>
      </c>
      <c r="AJ9" s="143" t="s">
        <v>6</v>
      </c>
      <c r="AK9" s="124">
        <f>SUM(AK4:AK8)-1</f>
        <v>2563.6156757949329</v>
      </c>
      <c r="AL9" s="144" t="s">
        <v>6</v>
      </c>
      <c r="AM9" s="145">
        <f>236182/AM1</f>
        <v>5854.7988467993227</v>
      </c>
      <c r="AN9" s="145">
        <f>214263/AM1</f>
        <v>5311.4410298488592</v>
      </c>
    </row>
    <row r="10" spans="1:40" s="87" customFormat="1" ht="25.5" x14ac:dyDescent="0.2">
      <c r="A10" s="66" t="s">
        <v>27</v>
      </c>
      <c r="B10" s="66" t="s">
        <v>137</v>
      </c>
      <c r="C10" s="66" t="s">
        <v>28</v>
      </c>
      <c r="D10" s="134"/>
      <c r="E10" s="68">
        <v>80.33</v>
      </c>
      <c r="F10" s="134"/>
      <c r="G10" s="68">
        <v>76.12</v>
      </c>
      <c r="H10" s="134"/>
      <c r="I10" s="68">
        <v>77.84</v>
      </c>
      <c r="J10" s="134"/>
      <c r="K10" s="68">
        <v>67.02</v>
      </c>
      <c r="L10" s="71"/>
      <c r="M10" s="69">
        <v>55.71</v>
      </c>
      <c r="N10" s="134"/>
      <c r="O10" s="68">
        <v>68.150000000000006</v>
      </c>
      <c r="P10" s="134"/>
      <c r="Q10" s="68">
        <v>64.27</v>
      </c>
      <c r="R10" s="146"/>
      <c r="S10" s="23"/>
      <c r="T10" s="146"/>
      <c r="U10" s="23"/>
      <c r="V10" s="146"/>
      <c r="W10" s="23">
        <v>289.33</v>
      </c>
      <c r="X10" s="146"/>
      <c r="Y10" s="23">
        <v>256.52999999999997</v>
      </c>
      <c r="Z10" s="49"/>
      <c r="AA10" s="23">
        <v>256.52999999999997</v>
      </c>
      <c r="AB10" s="23" t="s">
        <v>3</v>
      </c>
      <c r="AC10" s="23">
        <v>239.64</v>
      </c>
      <c r="AD10" s="23" t="s">
        <v>3</v>
      </c>
      <c r="AE10" s="23">
        <v>217.47</v>
      </c>
      <c r="AF10" s="22"/>
      <c r="AG10" s="23">
        <v>238.97</v>
      </c>
      <c r="AH10" s="23" t="s">
        <v>6</v>
      </c>
      <c r="AI10" s="22">
        <v>206.87</v>
      </c>
      <c r="AJ10" s="25" t="s">
        <v>6</v>
      </c>
      <c r="AK10" s="22">
        <v>178.36</v>
      </c>
      <c r="AL10" s="25" t="s">
        <v>6</v>
      </c>
    </row>
    <row r="11" spans="1:40" s="87" customFormat="1" x14ac:dyDescent="0.2">
      <c r="A11" s="66" t="s">
        <v>29</v>
      </c>
      <c r="B11" s="66" t="s">
        <v>30</v>
      </c>
      <c r="C11" s="66" t="s">
        <v>31</v>
      </c>
      <c r="D11" s="134"/>
      <c r="E11" s="73">
        <v>82.85</v>
      </c>
      <c r="F11" s="134"/>
      <c r="G11" s="73">
        <v>77.599999999999994</v>
      </c>
      <c r="H11" s="134"/>
      <c r="I11" s="73">
        <v>80.5</v>
      </c>
      <c r="J11" s="134"/>
      <c r="K11" s="73">
        <v>68.8</v>
      </c>
      <c r="L11" s="71"/>
      <c r="M11" s="66">
        <v>48.65</v>
      </c>
      <c r="N11" s="134"/>
      <c r="O11" s="73">
        <v>71</v>
      </c>
      <c r="P11" s="134"/>
      <c r="Q11" s="73">
        <v>59.9</v>
      </c>
      <c r="R11" s="146"/>
      <c r="T11" s="146"/>
      <c r="V11" s="146"/>
      <c r="W11" s="87">
        <v>186.9</v>
      </c>
      <c r="X11" s="146"/>
      <c r="Y11" s="87">
        <v>163.9</v>
      </c>
      <c r="Z11" s="49"/>
      <c r="AA11" s="87">
        <v>167.5</v>
      </c>
      <c r="AB11" s="147" t="s">
        <v>3</v>
      </c>
      <c r="AC11" s="147">
        <v>173.53</v>
      </c>
      <c r="AD11" s="147" t="s">
        <v>3</v>
      </c>
      <c r="AE11" s="147">
        <v>160.63999999999999</v>
      </c>
      <c r="AF11" s="23" t="s">
        <v>6</v>
      </c>
      <c r="AG11" s="23">
        <v>186.17</v>
      </c>
      <c r="AH11" s="23" t="s">
        <v>6</v>
      </c>
      <c r="AI11" s="23">
        <v>160.63999999999999</v>
      </c>
      <c r="AJ11" s="25" t="s">
        <v>6</v>
      </c>
      <c r="AK11" s="23">
        <v>132.87</v>
      </c>
      <c r="AL11" s="148" t="s">
        <v>6</v>
      </c>
    </row>
    <row r="12" spans="1:40" x14ac:dyDescent="0.2">
      <c r="A12" s="64" t="s">
        <v>74</v>
      </c>
      <c r="B12" s="64" t="s">
        <v>78</v>
      </c>
      <c r="C12" s="64" t="s">
        <v>77</v>
      </c>
      <c r="D12" s="136"/>
      <c r="E12" s="135">
        <v>138300053</v>
      </c>
      <c r="F12" s="136"/>
      <c r="G12" s="135">
        <v>138300053</v>
      </c>
      <c r="H12" s="136"/>
      <c r="I12" s="135">
        <v>138300053</v>
      </c>
      <c r="J12" s="136"/>
      <c r="K12" s="135">
        <v>138300053</v>
      </c>
      <c r="L12" s="60"/>
      <c r="M12" s="59">
        <v>138300053</v>
      </c>
      <c r="N12" s="136"/>
      <c r="O12" s="135">
        <v>138300053</v>
      </c>
      <c r="P12" s="136"/>
      <c r="Q12" s="135">
        <v>138300053</v>
      </c>
      <c r="R12" s="48"/>
      <c r="S12" s="33"/>
      <c r="T12" s="48"/>
      <c r="U12" s="33"/>
      <c r="V12" s="48"/>
      <c r="W12" s="33">
        <v>24432025</v>
      </c>
      <c r="X12" s="48"/>
      <c r="Y12" s="33">
        <v>24432025</v>
      </c>
      <c r="AA12" s="33">
        <v>24432025</v>
      </c>
      <c r="AB12" s="23" t="s">
        <v>3</v>
      </c>
      <c r="AC12" s="33">
        <v>24432025</v>
      </c>
      <c r="AD12" s="23" t="s">
        <v>3</v>
      </c>
      <c r="AE12" s="33">
        <v>24458667</v>
      </c>
      <c r="AF12" s="23" t="s">
        <v>6</v>
      </c>
      <c r="AG12" s="33">
        <v>24402157</v>
      </c>
      <c r="AH12" s="23" t="s">
        <v>6</v>
      </c>
      <c r="AI12" s="33">
        <v>25783578</v>
      </c>
      <c r="AJ12" s="25" t="s">
        <v>6</v>
      </c>
      <c r="AK12" s="33">
        <v>25783578</v>
      </c>
      <c r="AL12" s="14" t="s">
        <v>6</v>
      </c>
    </row>
    <row r="14" spans="1:40" ht="12.75" customHeight="1" x14ac:dyDescent="0.2">
      <c r="B14" s="88"/>
      <c r="C14" s="89"/>
      <c r="D14" s="90"/>
      <c r="E14" s="91"/>
      <c r="F14" s="90"/>
      <c r="G14" s="91"/>
      <c r="H14" s="90"/>
      <c r="I14" s="91"/>
      <c r="J14" s="90"/>
      <c r="K14" s="149"/>
      <c r="L14" s="88"/>
      <c r="M14" s="92"/>
      <c r="N14" s="90"/>
      <c r="O14" s="91"/>
      <c r="P14" s="90"/>
      <c r="Q14" s="149"/>
      <c r="R14" s="88"/>
      <c r="S14" s="93"/>
      <c r="T14" s="88"/>
      <c r="V14" s="26"/>
      <c r="W14" s="23"/>
      <c r="X14" s="14"/>
      <c r="Y14" s="23"/>
      <c r="Z14" s="47"/>
      <c r="AA14" s="47"/>
      <c r="AB14" s="47"/>
      <c r="AC14" s="47"/>
      <c r="AD14" s="47"/>
      <c r="AE14" s="47"/>
      <c r="AF14" s="47"/>
      <c r="AG14" s="14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L13"/>
  <sheetViews>
    <sheetView showGridLines="0" topLeftCell="B1" zoomScaleNormal="100" workbookViewId="0">
      <selection activeCell="B1" sqref="B1"/>
    </sheetView>
  </sheetViews>
  <sheetFormatPr defaultColWidth="11.42578125" defaultRowHeight="12.75" x14ac:dyDescent="0.2"/>
  <cols>
    <col min="1" max="1" width="28.140625" style="26" hidden="1" customWidth="1"/>
    <col min="2" max="2" width="35.85546875" style="26" bestFit="1" customWidth="1"/>
    <col min="3" max="3" width="32" style="26" hidden="1" customWidth="1"/>
    <col min="4" max="4" width="11.5703125" style="85" customWidth="1"/>
    <col min="5" max="5" width="12.42578125" style="45" customWidth="1"/>
    <col min="6" max="6" width="10.7109375" style="85" customWidth="1"/>
    <col min="7" max="7" width="11.42578125" style="45" customWidth="1"/>
    <col min="8" max="8" width="11.42578125" style="85" customWidth="1"/>
    <col min="9" max="9" width="12.7109375" style="45" customWidth="1"/>
    <col min="10" max="10" width="11.42578125" style="85" customWidth="1"/>
    <col min="11" max="11" width="12.42578125" style="45" customWidth="1"/>
    <col min="12" max="12" width="11.42578125" style="85" customWidth="1"/>
    <col min="13" max="13" width="13" style="45" customWidth="1"/>
    <col min="14" max="14" width="11.42578125" style="85" customWidth="1"/>
    <col min="15" max="15" width="12.42578125" style="45" customWidth="1"/>
    <col min="16" max="16" width="11.42578125" style="86" customWidth="1"/>
    <col min="17" max="17" width="12.28515625" style="26" customWidth="1"/>
    <col min="18" max="18" width="11.42578125" style="86" customWidth="1"/>
    <col min="19" max="19" width="11.42578125" style="26" customWidth="1"/>
    <col min="20" max="20" width="9.140625" style="86" hidden="1" customWidth="1"/>
    <col min="21" max="21" width="9.140625" style="26" hidden="1" customWidth="1"/>
    <col min="22" max="22" width="9.140625" style="86" hidden="1" customWidth="1"/>
    <col min="23" max="23" width="9.140625" style="26" hidden="1" customWidth="1"/>
    <col min="24" max="24" width="11.5703125" style="49" hidden="1" customWidth="1"/>
    <col min="25" max="25" width="9.140625" style="26" hidden="1" customWidth="1"/>
    <col min="26" max="26" width="9.140625" style="49" hidden="1" customWidth="1"/>
    <col min="27" max="27" width="9.140625" style="26" hidden="1" customWidth="1"/>
    <col min="28" max="28" width="11.5703125" style="87" hidden="1" customWidth="1"/>
    <col min="29" max="31" width="9.140625" style="26" hidden="1" customWidth="1"/>
    <col min="32" max="35" width="11.42578125" style="26" hidden="1" customWidth="1"/>
    <col min="36" max="36" width="11.42578125" style="26" customWidth="1"/>
    <col min="37" max="38" width="9.140625" style="26" hidden="1" customWidth="1"/>
    <col min="39" max="16384" width="11.42578125" style="26"/>
  </cols>
  <sheetData>
    <row r="1" spans="1:38" s="13" customFormat="1" x14ac:dyDescent="0.2">
      <c r="A1" s="2" t="s">
        <v>0</v>
      </c>
      <c r="B1" s="2" t="s">
        <v>1</v>
      </c>
      <c r="C1" s="2" t="s">
        <v>2</v>
      </c>
      <c r="D1" s="3"/>
      <c r="E1" s="137">
        <v>39082</v>
      </c>
      <c r="F1" s="3"/>
      <c r="G1" s="137">
        <v>39028</v>
      </c>
      <c r="H1" s="3"/>
      <c r="I1" s="137">
        <v>38971</v>
      </c>
      <c r="J1" s="3"/>
      <c r="K1" s="137">
        <v>38839</v>
      </c>
      <c r="L1" s="3"/>
      <c r="M1" s="137">
        <v>38803</v>
      </c>
      <c r="N1" s="3"/>
      <c r="O1" s="137">
        <v>38717</v>
      </c>
      <c r="P1" s="2"/>
      <c r="Q1" s="2"/>
      <c r="R1" s="7"/>
      <c r="S1" s="8"/>
      <c r="T1" s="7"/>
      <c r="U1" s="8">
        <v>36420</v>
      </c>
      <c r="V1" s="7"/>
      <c r="W1" s="8">
        <v>36341</v>
      </c>
      <c r="X1" s="8"/>
      <c r="Y1" s="8">
        <v>36231</v>
      </c>
      <c r="Z1" s="8"/>
      <c r="AA1" s="8">
        <v>36160</v>
      </c>
      <c r="AB1" s="9"/>
      <c r="AC1" s="8">
        <v>36052</v>
      </c>
      <c r="AD1" s="10" t="s">
        <v>3</v>
      </c>
      <c r="AE1" s="11">
        <v>35976</v>
      </c>
      <c r="AF1" s="10" t="s">
        <v>3</v>
      </c>
      <c r="AG1" s="11">
        <v>35884</v>
      </c>
      <c r="AH1" s="12" t="s">
        <v>3</v>
      </c>
      <c r="AI1" s="11">
        <v>35795</v>
      </c>
      <c r="AK1" s="13">
        <v>40.3399</v>
      </c>
      <c r="AL1" s="13">
        <v>6.5595699999999999</v>
      </c>
    </row>
    <row r="2" spans="1:38" x14ac:dyDescent="0.2">
      <c r="A2" s="14" t="s">
        <v>61</v>
      </c>
      <c r="B2" s="14" t="str">
        <f>A2</f>
        <v>Bertelsmann (1)</v>
      </c>
      <c r="C2" s="14" t="str">
        <f>A2</f>
        <v>Bertelsmann (1)</v>
      </c>
      <c r="D2" s="15" t="s">
        <v>4</v>
      </c>
      <c r="E2" s="16">
        <v>0</v>
      </c>
      <c r="F2" s="15" t="s">
        <v>4</v>
      </c>
      <c r="G2" s="16">
        <v>0</v>
      </c>
      <c r="H2" s="15" t="s">
        <v>4</v>
      </c>
      <c r="I2" s="16">
        <v>0</v>
      </c>
      <c r="J2" s="15" t="s">
        <v>4</v>
      </c>
      <c r="K2" s="16">
        <v>2103</v>
      </c>
      <c r="L2" s="15" t="s">
        <v>4</v>
      </c>
      <c r="M2" s="16">
        <v>2090</v>
      </c>
      <c r="N2" s="15" t="s">
        <v>4</v>
      </c>
      <c r="O2" s="16">
        <v>2090</v>
      </c>
      <c r="P2" s="20"/>
      <c r="Q2" s="21"/>
      <c r="R2" s="20"/>
      <c r="S2" s="21"/>
      <c r="T2" s="20"/>
      <c r="U2" s="21"/>
      <c r="V2" s="20"/>
      <c r="W2" s="21"/>
      <c r="X2" s="21"/>
      <c r="Y2" s="21"/>
      <c r="Z2" s="21"/>
      <c r="AA2" s="21"/>
      <c r="AB2" s="22"/>
      <c r="AC2" s="21"/>
      <c r="AD2" s="23"/>
      <c r="AE2" s="24"/>
      <c r="AF2" s="23"/>
      <c r="AG2" s="24"/>
      <c r="AH2" s="25"/>
      <c r="AI2" s="24"/>
    </row>
    <row r="3" spans="1:38" x14ac:dyDescent="0.2">
      <c r="A3" s="14" t="s">
        <v>82</v>
      </c>
      <c r="B3" s="14" t="s">
        <v>82</v>
      </c>
      <c r="C3" s="14" t="s">
        <v>82</v>
      </c>
      <c r="D3" s="15">
        <v>145</v>
      </c>
      <c r="E3" s="27">
        <v>446</v>
      </c>
      <c r="F3" s="15" t="s">
        <v>4</v>
      </c>
      <c r="G3" s="27">
        <v>0</v>
      </c>
      <c r="H3" s="15" t="s">
        <v>4</v>
      </c>
      <c r="I3" s="27">
        <v>0</v>
      </c>
      <c r="J3" s="15" t="s">
        <v>4</v>
      </c>
      <c r="K3" s="27">
        <v>0</v>
      </c>
      <c r="L3" s="15" t="s">
        <v>4</v>
      </c>
      <c r="M3" s="27">
        <v>0</v>
      </c>
      <c r="N3" s="15" t="s">
        <v>4</v>
      </c>
      <c r="O3" s="27">
        <v>0</v>
      </c>
      <c r="P3" s="29"/>
      <c r="Q3" s="30"/>
      <c r="R3" s="29"/>
      <c r="S3" s="30"/>
      <c r="T3" s="29">
        <v>48.35</v>
      </c>
      <c r="U3" s="30">
        <v>1302</v>
      </c>
      <c r="V3" s="29">
        <v>46.55</v>
      </c>
      <c r="W3" s="30">
        <v>1242</v>
      </c>
      <c r="X3" s="31">
        <v>37.450000000000003</v>
      </c>
      <c r="Y3" s="30">
        <v>991</v>
      </c>
      <c r="Z3" s="32">
        <f>1550/AK1</f>
        <v>38.423496339852107</v>
      </c>
      <c r="AA3" s="33">
        <f>40072/AK1</f>
        <v>993.35893247132492</v>
      </c>
      <c r="AB3" s="32">
        <f>1498/AK1</f>
        <v>37.134450011031262</v>
      </c>
      <c r="AC3" s="33">
        <f>38499/AK1</f>
        <v>954.36528102449438</v>
      </c>
      <c r="AD3" s="32">
        <f>1520/AK1</f>
        <v>37.679815765532389</v>
      </c>
      <c r="AE3" s="33">
        <f>38837/AK1</f>
        <v>962.74408216182985</v>
      </c>
      <c r="AF3" s="32">
        <f>1510/AK1</f>
        <v>37.43192224075915</v>
      </c>
      <c r="AG3" s="33">
        <f>26966/AK1</f>
        <v>668.46967890351732</v>
      </c>
      <c r="AH3" s="29">
        <f>1510/AK1</f>
        <v>37.43192224075915</v>
      </c>
      <c r="AI3" s="33">
        <f>25184/AK1</f>
        <v>624.29505278892611</v>
      </c>
      <c r="AJ3" s="1" t="s">
        <v>6</v>
      </c>
    </row>
    <row r="4" spans="1:38" x14ac:dyDescent="0.2">
      <c r="A4" s="14" t="s">
        <v>79</v>
      </c>
      <c r="B4" s="14" t="str">
        <f>A4</f>
        <v>Total</v>
      </c>
      <c r="C4" s="14" t="str">
        <f>A4</f>
        <v>Total</v>
      </c>
      <c r="D4" s="43">
        <v>54.65</v>
      </c>
      <c r="E4" s="16">
        <v>5134</v>
      </c>
      <c r="F4" s="43">
        <v>54.4</v>
      </c>
      <c r="G4" s="16">
        <v>5110</v>
      </c>
      <c r="H4" s="43">
        <v>50.15</v>
      </c>
      <c r="I4" s="16">
        <v>4711</v>
      </c>
      <c r="J4" s="43">
        <v>55.4</v>
      </c>
      <c r="K4" s="16">
        <v>5204</v>
      </c>
      <c r="L4" s="43">
        <v>53.75</v>
      </c>
      <c r="M4" s="16">
        <v>5049</v>
      </c>
      <c r="N4" s="43">
        <v>53.05</v>
      </c>
      <c r="O4" s="16">
        <v>4984</v>
      </c>
      <c r="P4" s="29"/>
      <c r="Q4" s="30"/>
      <c r="R4" s="29"/>
      <c r="S4" s="30"/>
      <c r="T4" s="29">
        <v>120.9</v>
      </c>
      <c r="U4" s="30">
        <v>2351</v>
      </c>
      <c r="V4" s="29">
        <v>125.1</v>
      </c>
      <c r="W4" s="30">
        <v>2399</v>
      </c>
      <c r="X4" s="44">
        <f>460.3/4.5</f>
        <v>102.28888888888889</v>
      </c>
      <c r="Y4" s="30">
        <v>1921</v>
      </c>
      <c r="Z4" s="32">
        <v>86.76</v>
      </c>
      <c r="AA4" s="33">
        <v>1590</v>
      </c>
      <c r="AB4" s="32" t="e">
        <f>12875/(#REF!*4.5)</f>
        <v>#REF!</v>
      </c>
      <c r="AC4" s="33" t="e">
        <f>52109/#REF!</f>
        <v>#REF!</v>
      </c>
      <c r="AD4" s="32" t="e">
        <f>15275/(#REF!*4.5)</f>
        <v>#REF!</v>
      </c>
      <c r="AE4" s="33" t="e">
        <f>61445/#REF!</f>
        <v>#REF!</v>
      </c>
      <c r="AF4" s="32" t="e">
        <f>13950/#REF!</f>
        <v>#REF!</v>
      </c>
      <c r="AG4" s="33" t="e">
        <f>38455/#REF!</f>
        <v>#REF!</v>
      </c>
      <c r="AH4" s="29" t="e">
        <f>13675/#REF!</f>
        <v>#REF!</v>
      </c>
      <c r="AI4" s="33" t="e">
        <f>35072/#REF!</f>
        <v>#REF!</v>
      </c>
      <c r="AJ4" s="14" t="s">
        <v>6</v>
      </c>
    </row>
    <row r="5" spans="1:38" x14ac:dyDescent="0.2">
      <c r="A5" s="14" t="s">
        <v>83</v>
      </c>
      <c r="B5" s="14" t="str">
        <f>A5</f>
        <v>Suez</v>
      </c>
      <c r="C5" s="14" t="str">
        <f>A5</f>
        <v>Suez</v>
      </c>
      <c r="D5" s="43">
        <v>39.229999999999997</v>
      </c>
      <c r="E5" s="16">
        <v>3990</v>
      </c>
      <c r="F5" s="43">
        <v>36.06</v>
      </c>
      <c r="G5" s="16">
        <v>3668</v>
      </c>
      <c r="H5" s="43">
        <v>33.200000000000003</v>
      </c>
      <c r="I5" s="16">
        <v>3377</v>
      </c>
      <c r="J5" s="43">
        <v>32.29</v>
      </c>
      <c r="K5" s="16">
        <v>2969</v>
      </c>
      <c r="L5" s="43">
        <v>33.200000000000003</v>
      </c>
      <c r="M5" s="16">
        <v>3053</v>
      </c>
      <c r="N5" s="43">
        <v>26.3</v>
      </c>
      <c r="O5" s="16">
        <v>2418</v>
      </c>
      <c r="P5" s="29"/>
      <c r="Q5" s="33"/>
      <c r="R5" s="29"/>
      <c r="S5" s="33"/>
      <c r="T5" s="29">
        <v>159.9</v>
      </c>
      <c r="U5" s="33">
        <v>2134</v>
      </c>
      <c r="V5" s="29">
        <v>174.9</v>
      </c>
      <c r="W5" s="33">
        <v>2278</v>
      </c>
      <c r="X5" s="32">
        <v>173.2</v>
      </c>
      <c r="Y5" s="33">
        <v>2197</v>
      </c>
      <c r="Z5" s="32">
        <f>1148/AL1</f>
        <v>175.01147178854711</v>
      </c>
      <c r="AA5" s="33">
        <f>85728/AK1</f>
        <v>2125.1416091760266</v>
      </c>
      <c r="AB5" s="32">
        <f>1029/AL1</f>
        <v>156.87003873729529</v>
      </c>
      <c r="AC5" s="33">
        <f>76396/AK1</f>
        <v>1893.8073718576397</v>
      </c>
      <c r="AD5" s="32">
        <f>995/AL1</f>
        <v>151.68677215122332</v>
      </c>
      <c r="AE5" s="33">
        <f>73440/AK1</f>
        <v>1820.5300459346702</v>
      </c>
      <c r="AF5" s="32">
        <f>889/AL1</f>
        <v>135.52717632405782</v>
      </c>
      <c r="AG5" s="33">
        <f>41140/AK1</f>
        <v>1019.8339609171069</v>
      </c>
      <c r="AH5" s="29">
        <f>666/AL1</f>
        <v>101.53104548011531</v>
      </c>
      <c r="AI5" s="33">
        <f>28071/AK1</f>
        <v>695.86191339096035</v>
      </c>
      <c r="AJ5" s="14" t="s">
        <v>6</v>
      </c>
    </row>
    <row r="6" spans="1:38" x14ac:dyDescent="0.2">
      <c r="A6" s="14" t="s">
        <v>84</v>
      </c>
      <c r="B6" s="14" t="str">
        <f>A6</f>
        <v xml:space="preserve">Imerys </v>
      </c>
      <c r="C6" s="14" t="str">
        <f>A6</f>
        <v xml:space="preserve">Imerys </v>
      </c>
      <c r="D6" s="43">
        <v>67.400000000000006</v>
      </c>
      <c r="E6" s="16">
        <v>1129</v>
      </c>
      <c r="F6" s="43">
        <v>67.849999999999994</v>
      </c>
      <c r="G6" s="16">
        <v>1136</v>
      </c>
      <c r="H6" s="43">
        <v>60.35</v>
      </c>
      <c r="I6" s="16">
        <v>1011</v>
      </c>
      <c r="J6" s="43">
        <v>69.8</v>
      </c>
      <c r="K6" s="16">
        <v>1169</v>
      </c>
      <c r="L6" s="43">
        <v>69.650000000000006</v>
      </c>
      <c r="M6" s="16">
        <v>1166</v>
      </c>
      <c r="N6" s="43">
        <v>61.1</v>
      </c>
      <c r="O6" s="16">
        <v>1023</v>
      </c>
      <c r="P6" s="29"/>
      <c r="Q6" s="30"/>
      <c r="R6" s="29"/>
      <c r="S6" s="30"/>
      <c r="T6" s="29">
        <v>149.1</v>
      </c>
      <c r="U6" s="30">
        <v>624</v>
      </c>
      <c r="V6" s="29">
        <v>144</v>
      </c>
      <c r="W6" s="30">
        <v>603</v>
      </c>
      <c r="X6" s="31">
        <v>99.6</v>
      </c>
      <c r="Y6" s="30">
        <v>417</v>
      </c>
      <c r="Z6" s="32">
        <f>560/AL1</f>
        <v>85.371449652949821</v>
      </c>
      <c r="AA6" s="33">
        <f>14416/AK1</f>
        <v>357.36330531310193</v>
      </c>
      <c r="AB6" s="32">
        <f>563/AL1</f>
        <v>85.828796704662039</v>
      </c>
      <c r="AC6" s="33">
        <f>14484/AK1</f>
        <v>359.04898128155992</v>
      </c>
      <c r="AD6" s="32">
        <f>831/AL1</f>
        <v>126.68513332428803</v>
      </c>
      <c r="AE6" s="33">
        <f>19136/AK1</f>
        <v>474.3690490060709</v>
      </c>
      <c r="AF6" s="32">
        <f>818/AL1</f>
        <v>124.7032961002017</v>
      </c>
      <c r="AG6" s="33">
        <f>16662/AK1</f>
        <v>413.04019097717151</v>
      </c>
      <c r="AH6" s="29">
        <f>748/AL1</f>
        <v>114.03186489358296</v>
      </c>
      <c r="AI6" s="33">
        <f>15243/AK1</f>
        <v>377.8640998118488</v>
      </c>
      <c r="AJ6" s="14" t="s">
        <v>6</v>
      </c>
    </row>
    <row r="7" spans="1:38" x14ac:dyDescent="0.2">
      <c r="A7" s="1" t="s">
        <v>81</v>
      </c>
      <c r="B7" s="14" t="str">
        <f>A7</f>
        <v>Lafarge</v>
      </c>
      <c r="C7" s="14" t="str">
        <f>A7</f>
        <v>Lafarge</v>
      </c>
      <c r="D7" s="43">
        <v>112.7</v>
      </c>
      <c r="E7" s="132">
        <v>3170</v>
      </c>
      <c r="F7" s="43">
        <v>106.3</v>
      </c>
      <c r="G7" s="132">
        <v>2476</v>
      </c>
      <c r="H7" s="43">
        <v>99.45</v>
      </c>
      <c r="I7" s="132">
        <v>1974</v>
      </c>
      <c r="J7" s="43">
        <v>98.55</v>
      </c>
      <c r="K7" s="132">
        <v>1599</v>
      </c>
      <c r="L7" s="43">
        <v>90.3</v>
      </c>
      <c r="M7" s="132">
        <v>1293</v>
      </c>
      <c r="N7" s="43">
        <v>76</v>
      </c>
      <c r="O7" s="132">
        <v>450</v>
      </c>
      <c r="P7" s="29"/>
      <c r="Q7" s="47"/>
      <c r="R7" s="29"/>
      <c r="S7" s="47"/>
      <c r="T7" s="47"/>
      <c r="U7" s="47" t="s">
        <v>16</v>
      </c>
      <c r="V7" s="48"/>
      <c r="W7" s="47" t="s">
        <v>16</v>
      </c>
      <c r="Y7" s="47" t="s">
        <v>16</v>
      </c>
      <c r="Z7" s="23"/>
      <c r="AA7" s="47" t="s">
        <v>16</v>
      </c>
      <c r="AB7" s="23"/>
      <c r="AC7" s="47"/>
      <c r="AD7" s="23"/>
      <c r="AE7" s="47"/>
      <c r="AF7" s="23"/>
      <c r="AG7" s="33"/>
      <c r="AH7" s="25"/>
      <c r="AI7" s="33"/>
      <c r="AJ7" s="14"/>
    </row>
    <row r="8" spans="1:38" x14ac:dyDescent="0.2">
      <c r="A8" s="14" t="s">
        <v>17</v>
      </c>
      <c r="B8" s="14" t="s">
        <v>18</v>
      </c>
      <c r="C8" s="14" t="s">
        <v>19</v>
      </c>
      <c r="D8" s="43"/>
      <c r="E8" s="16">
        <v>258</v>
      </c>
      <c r="F8" s="43"/>
      <c r="G8" s="16">
        <v>238</v>
      </c>
      <c r="H8" s="43"/>
      <c r="I8" s="16">
        <v>206</v>
      </c>
      <c r="J8" s="43"/>
      <c r="K8" s="16">
        <v>125</v>
      </c>
      <c r="L8" s="43"/>
      <c r="M8" s="16">
        <v>94</v>
      </c>
      <c r="N8" s="43"/>
      <c r="O8" s="16">
        <v>89</v>
      </c>
      <c r="P8" s="48"/>
      <c r="Q8" s="30"/>
      <c r="R8" s="48"/>
      <c r="S8" s="30"/>
      <c r="T8" s="48"/>
      <c r="U8" s="30">
        <v>266</v>
      </c>
      <c r="V8" s="48"/>
      <c r="W8" s="30">
        <v>257</v>
      </c>
      <c r="Y8" s="30">
        <f>25+190</f>
        <v>215</v>
      </c>
      <c r="Z8" s="23" t="s">
        <v>3</v>
      </c>
      <c r="AA8" s="33">
        <f>7517/AK1+1</f>
        <v>187.34156257204407</v>
      </c>
      <c r="AB8" s="23" t="s">
        <v>3</v>
      </c>
      <c r="AC8" s="33">
        <f>10221/AK1</f>
        <v>253.37197167072799</v>
      </c>
      <c r="AD8" s="23" t="s">
        <v>6</v>
      </c>
      <c r="AE8" s="33">
        <f>13264/AK1</f>
        <v>328.80597125922475</v>
      </c>
      <c r="AF8" s="23" t="s">
        <v>6</v>
      </c>
      <c r="AG8" s="33">
        <f>15670/AK1+1</f>
        <v>389.44915331966615</v>
      </c>
      <c r="AH8" s="25" t="s">
        <v>6</v>
      </c>
      <c r="AI8" s="33">
        <f>22978/AK1</f>
        <v>569.60974122394953</v>
      </c>
      <c r="AJ8" s="14" t="s">
        <v>6</v>
      </c>
    </row>
    <row r="9" spans="1:38" s="53" customFormat="1" ht="25.5" x14ac:dyDescent="0.2">
      <c r="A9" s="50" t="s">
        <v>85</v>
      </c>
      <c r="B9" s="50" t="s">
        <v>86</v>
      </c>
      <c r="C9" s="50" t="s">
        <v>87</v>
      </c>
      <c r="D9" s="43"/>
      <c r="E9" s="16">
        <v>2636</v>
      </c>
      <c r="F9" s="43"/>
      <c r="G9" s="16">
        <v>3487</v>
      </c>
      <c r="H9" s="43"/>
      <c r="I9" s="16">
        <v>3794</v>
      </c>
      <c r="J9" s="43"/>
      <c r="K9" s="16">
        <v>-347</v>
      </c>
      <c r="L9" s="43"/>
      <c r="M9" s="16">
        <v>-606</v>
      </c>
      <c r="N9" s="43"/>
      <c r="O9" s="16">
        <v>56</v>
      </c>
      <c r="P9" s="52"/>
      <c r="R9" s="52"/>
      <c r="T9" s="52"/>
      <c r="U9" s="53">
        <v>392</v>
      </c>
      <c r="V9" s="52"/>
      <c r="W9" s="53">
        <v>414</v>
      </c>
      <c r="X9" s="54"/>
      <c r="Y9" s="53">
        <v>527</v>
      </c>
      <c r="Z9" s="55" t="s">
        <v>3</v>
      </c>
      <c r="AA9" s="55">
        <f>24308/AK1</f>
        <v>602.57958001879035</v>
      </c>
      <c r="AB9" s="55" t="s">
        <v>3</v>
      </c>
      <c r="AC9" s="55">
        <f>22554/AK1</f>
        <v>559.09905577356415</v>
      </c>
      <c r="AD9" s="55" t="s">
        <v>6</v>
      </c>
      <c r="AE9" s="55">
        <f>29104/AK1</f>
        <v>721.46931450003592</v>
      </c>
      <c r="AF9" s="55" t="s">
        <v>6</v>
      </c>
      <c r="AG9" s="55">
        <f>48989/AK1+1</f>
        <v>1215.4055885116225</v>
      </c>
      <c r="AH9" s="50" t="s">
        <v>6</v>
      </c>
      <c r="AI9" s="55">
        <f>37124/AK1+1</f>
        <v>921.27992136817397</v>
      </c>
      <c r="AJ9" s="50" t="s">
        <v>6</v>
      </c>
    </row>
    <row r="10" spans="1:38" s="129" customFormat="1" x14ac:dyDescent="0.2">
      <c r="A10" s="56" t="s">
        <v>25</v>
      </c>
      <c r="B10" s="56" t="s">
        <v>135</v>
      </c>
      <c r="C10" s="56" t="s">
        <v>26</v>
      </c>
      <c r="D10" s="133"/>
      <c r="E10" s="58">
        <f>SUM(E2:E9)</f>
        <v>16763</v>
      </c>
      <c r="F10" s="133"/>
      <c r="G10" s="58">
        <f>SUM(G2:G9)</f>
        <v>16115</v>
      </c>
      <c r="H10" s="133"/>
      <c r="I10" s="58">
        <f>SUM(I2:I9)</f>
        <v>15073</v>
      </c>
      <c r="J10" s="133"/>
      <c r="K10" s="58">
        <f>SUM(K2:K9)</f>
        <v>12822</v>
      </c>
      <c r="L10" s="133"/>
      <c r="M10" s="58">
        <f>SUM(M2:M9)</f>
        <v>12139</v>
      </c>
      <c r="N10" s="133"/>
      <c r="O10" s="58">
        <f>SUM(O2:O9)</f>
        <v>11110</v>
      </c>
      <c r="P10" s="125"/>
      <c r="Q10" s="124"/>
      <c r="R10" s="125"/>
      <c r="S10" s="124"/>
      <c r="T10" s="125"/>
      <c r="U10" s="124" t="e">
        <f>SUM(U3:U5:#REF!)-#REF!-#REF!</f>
        <v>#REF!</v>
      </c>
      <c r="V10" s="125"/>
      <c r="W10" s="124" t="e">
        <f>SUM(W3:W5:#REF!)-#REF!-#REF!</f>
        <v>#REF!</v>
      </c>
      <c r="X10" s="126"/>
      <c r="Y10" s="124" t="e">
        <f>SUM(Y3:Y5:#REF!)-#REF!-#REF!</f>
        <v>#REF!</v>
      </c>
      <c r="Z10" s="127" t="s">
        <v>3</v>
      </c>
      <c r="AA10" s="124" t="e">
        <f>SUM(AA3:AA5:#REF!)-#REF!-#REF!-1</f>
        <v>#REF!</v>
      </c>
      <c r="AB10" s="127" t="s">
        <v>3</v>
      </c>
      <c r="AC10" s="124">
        <f>SUM(AC5:AC9)</f>
        <v>3065.3273805834915</v>
      </c>
      <c r="AD10" s="127" t="s">
        <v>6</v>
      </c>
      <c r="AE10" s="124">
        <f>SUM(AE5:AE9)</f>
        <v>3345.1743807000021</v>
      </c>
      <c r="AF10" s="127" t="s">
        <v>6</v>
      </c>
      <c r="AG10" s="124">
        <f>SUM(AG5:AG9)-2</f>
        <v>3035.7288937255671</v>
      </c>
      <c r="AH10" s="128" t="s">
        <v>6</v>
      </c>
      <c r="AI10" s="124">
        <f>SUM(AI5:AI9)-1</f>
        <v>2563.6156757949329</v>
      </c>
      <c r="AJ10" s="56" t="s">
        <v>6</v>
      </c>
      <c r="AK10" s="129">
        <f>236182/AK1</f>
        <v>5854.7988467993227</v>
      </c>
      <c r="AL10" s="129">
        <f>214263/AK1</f>
        <v>5311.4410298488592</v>
      </c>
    </row>
    <row r="11" spans="1:38" s="72" customFormat="1" x14ac:dyDescent="0.2">
      <c r="A11" s="66" t="s">
        <v>27</v>
      </c>
      <c r="B11" s="66" t="s">
        <v>137</v>
      </c>
      <c r="C11" s="66" t="s">
        <v>28</v>
      </c>
      <c r="D11" s="134"/>
      <c r="E11" s="68">
        <v>113.91</v>
      </c>
      <c r="F11" s="134"/>
      <c r="G11" s="68">
        <v>109.5</v>
      </c>
      <c r="H11" s="134"/>
      <c r="I11" s="68">
        <v>102.42</v>
      </c>
      <c r="J11" s="134"/>
      <c r="K11" s="68">
        <v>87.13</v>
      </c>
      <c r="L11" s="134"/>
      <c r="M11" s="68">
        <v>87.77</v>
      </c>
      <c r="N11" s="134"/>
      <c r="O11" s="68">
        <v>80.33</v>
      </c>
      <c r="P11" s="71"/>
      <c r="Q11" s="22"/>
      <c r="R11" s="71"/>
      <c r="S11" s="22"/>
      <c r="T11" s="71"/>
      <c r="U11" s="22">
        <v>289.33</v>
      </c>
      <c r="V11" s="71"/>
      <c r="W11" s="22">
        <v>256.52999999999997</v>
      </c>
      <c r="X11" s="62"/>
      <c r="Y11" s="22">
        <v>256.52999999999997</v>
      </c>
      <c r="Z11" s="22" t="s">
        <v>3</v>
      </c>
      <c r="AA11" s="22">
        <v>239.64</v>
      </c>
      <c r="AB11" s="22" t="s">
        <v>3</v>
      </c>
      <c r="AC11" s="22">
        <v>217.47</v>
      </c>
      <c r="AD11" s="22"/>
      <c r="AE11" s="22">
        <v>238.97</v>
      </c>
      <c r="AF11" s="22" t="s">
        <v>6</v>
      </c>
      <c r="AG11" s="22">
        <v>206.87</v>
      </c>
      <c r="AH11" s="63" t="s">
        <v>6</v>
      </c>
      <c r="AI11" s="22">
        <v>178.36</v>
      </c>
      <c r="AJ11" s="63" t="s">
        <v>6</v>
      </c>
    </row>
    <row r="12" spans="1:38" s="72" customFormat="1" x14ac:dyDescent="0.2">
      <c r="A12" s="66" t="s">
        <v>29</v>
      </c>
      <c r="B12" s="66" t="s">
        <v>30</v>
      </c>
      <c r="C12" s="66" t="s">
        <v>31</v>
      </c>
      <c r="D12" s="134"/>
      <c r="E12" s="73">
        <v>91.05</v>
      </c>
      <c r="F12" s="134"/>
      <c r="G12" s="73">
        <v>87.7</v>
      </c>
      <c r="H12" s="134"/>
      <c r="I12" s="73">
        <v>81.150000000000006</v>
      </c>
      <c r="J12" s="134"/>
      <c r="K12" s="73">
        <v>89.9</v>
      </c>
      <c r="L12" s="134"/>
      <c r="M12" s="73">
        <v>92.2</v>
      </c>
      <c r="N12" s="134"/>
      <c r="O12" s="73">
        <v>82.85</v>
      </c>
      <c r="P12" s="71"/>
      <c r="R12" s="71"/>
      <c r="T12" s="71"/>
      <c r="U12" s="72">
        <v>186.9</v>
      </c>
      <c r="V12" s="71"/>
      <c r="W12" s="72">
        <v>163.9</v>
      </c>
      <c r="X12" s="62"/>
      <c r="Y12" s="72">
        <v>167.5</v>
      </c>
      <c r="Z12" s="69" t="s">
        <v>3</v>
      </c>
      <c r="AA12" s="69">
        <v>173.53</v>
      </c>
      <c r="AB12" s="69" t="s">
        <v>3</v>
      </c>
      <c r="AC12" s="69">
        <v>160.63999999999999</v>
      </c>
      <c r="AD12" s="22" t="s">
        <v>6</v>
      </c>
      <c r="AE12" s="22">
        <v>186.17</v>
      </c>
      <c r="AF12" s="22" t="s">
        <v>6</v>
      </c>
      <c r="AG12" s="22">
        <v>160.63999999999999</v>
      </c>
      <c r="AH12" s="63" t="s">
        <v>6</v>
      </c>
      <c r="AI12" s="22">
        <v>132.87</v>
      </c>
      <c r="AJ12" s="66" t="s">
        <v>6</v>
      </c>
    </row>
    <row r="13" spans="1:38" s="65" customFormat="1" x14ac:dyDescent="0.2">
      <c r="A13" s="64" t="s">
        <v>74</v>
      </c>
      <c r="B13" s="64" t="s">
        <v>78</v>
      </c>
      <c r="C13" s="64" t="s">
        <v>77</v>
      </c>
      <c r="D13" s="136"/>
      <c r="E13" s="135">
        <v>147167666</v>
      </c>
      <c r="F13" s="136"/>
      <c r="G13" s="135">
        <v>147167666</v>
      </c>
      <c r="H13" s="136"/>
      <c r="I13" s="135">
        <v>147167666</v>
      </c>
      <c r="J13" s="136"/>
      <c r="K13" s="135">
        <v>147167666</v>
      </c>
      <c r="L13" s="136"/>
      <c r="M13" s="135">
        <v>138300053</v>
      </c>
      <c r="N13" s="136"/>
      <c r="O13" s="135">
        <v>138300053</v>
      </c>
      <c r="P13" s="61"/>
      <c r="Q13" s="19"/>
      <c r="R13" s="61"/>
      <c r="S13" s="19"/>
      <c r="T13" s="61"/>
      <c r="U13" s="19">
        <v>24432025</v>
      </c>
      <c r="V13" s="61"/>
      <c r="W13" s="19">
        <v>24432025</v>
      </c>
      <c r="X13" s="62"/>
      <c r="Y13" s="19">
        <v>24432025</v>
      </c>
      <c r="Z13" s="22" t="s">
        <v>3</v>
      </c>
      <c r="AA13" s="19">
        <v>24432025</v>
      </c>
      <c r="AB13" s="22" t="s">
        <v>3</v>
      </c>
      <c r="AC13" s="19">
        <v>24458667</v>
      </c>
      <c r="AD13" s="22" t="s">
        <v>6</v>
      </c>
      <c r="AE13" s="19">
        <v>24402157</v>
      </c>
      <c r="AF13" s="22" t="s">
        <v>6</v>
      </c>
      <c r="AG13" s="19">
        <v>25783578</v>
      </c>
      <c r="AH13" s="63" t="s">
        <v>6</v>
      </c>
      <c r="AI13" s="19">
        <v>25783578</v>
      </c>
      <c r="AJ13" s="64" t="s">
        <v>6</v>
      </c>
    </row>
  </sheetData>
  <phoneticPr fontId="2" type="noConversion"/>
  <pageMargins left="0.78740157499999996" right="0.78740157499999996" top="0.984251969" bottom="0.984251969" header="0.4921259845" footer="0.4921259845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262</vt:i4>
      </vt:variant>
    </vt:vector>
  </HeadingPairs>
  <TitlesOfParts>
    <vt:vector size="290" baseType="lpstr"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'2009'!en_1</vt:lpstr>
      <vt:lpstr>'2010'!en_1</vt:lpstr>
      <vt:lpstr>'2011'!en_1</vt:lpstr>
      <vt:lpstr>'2012'!en_1</vt:lpstr>
      <vt:lpstr>'2013'!en_1</vt:lpstr>
      <vt:lpstr>en_1</vt:lpstr>
      <vt:lpstr>en_10</vt:lpstr>
      <vt:lpstr>en_11</vt:lpstr>
      <vt:lpstr>en_2</vt:lpstr>
      <vt:lpstr>en_3</vt:lpstr>
      <vt:lpstr>en_4</vt:lpstr>
      <vt:lpstr>en_5</vt:lpstr>
      <vt:lpstr>en_7</vt:lpstr>
      <vt:lpstr>en_8</vt:lpstr>
      <vt:lpstr>en_9</vt:lpstr>
      <vt:lpstr>'2009'!fr_1</vt:lpstr>
      <vt:lpstr>'2010'!fr_1</vt:lpstr>
      <vt:lpstr>'2011'!fr_1</vt:lpstr>
      <vt:lpstr>'2012'!fr_1</vt:lpstr>
      <vt:lpstr>'2013'!fr_1</vt:lpstr>
      <vt:lpstr>'2015'!fr_1</vt:lpstr>
      <vt:lpstr>'2016'!fr_1</vt:lpstr>
      <vt:lpstr>'2017'!fr_1</vt:lpstr>
      <vt:lpstr>'2018'!fr_1</vt:lpstr>
      <vt:lpstr>fr_1</vt:lpstr>
      <vt:lpstr>fr_10</vt:lpstr>
      <vt:lpstr>fr_11</vt:lpstr>
      <vt:lpstr>fr_2</vt:lpstr>
      <vt:lpstr>fr_3</vt:lpstr>
      <vt:lpstr>fr_4</vt:lpstr>
      <vt:lpstr>fr_5</vt:lpstr>
      <vt:lpstr>fr_7</vt:lpstr>
      <vt:lpstr>fr_8</vt:lpstr>
      <vt:lpstr>fr_9</vt:lpstr>
      <vt:lpstr>'2009'!nl_1</vt:lpstr>
      <vt:lpstr>'2010'!nl_1</vt:lpstr>
      <vt:lpstr>'2011'!nl_1</vt:lpstr>
      <vt:lpstr>'2012'!nl_1</vt:lpstr>
      <vt:lpstr>'2013'!nl_1</vt:lpstr>
      <vt:lpstr>'2014'!nl_1</vt:lpstr>
      <vt:lpstr>nl_1</vt:lpstr>
      <vt:lpstr>nl_10</vt:lpstr>
      <vt:lpstr>nl_11</vt:lpstr>
      <vt:lpstr>nl_2</vt:lpstr>
      <vt:lpstr>nl_3</vt:lpstr>
      <vt:lpstr>nl_4</vt:lpstr>
      <vt:lpstr>nl_5</vt:lpstr>
      <vt:lpstr>nl_7</vt:lpstr>
      <vt:lpstr>nl_8</vt:lpstr>
      <vt:lpstr>nl_9</vt:lpstr>
      <vt:lpstr>'2004'!Print_Area</vt:lpstr>
      <vt:lpstr>'2006'!Print_Area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'2009'!trim_five_a_1</vt:lpstr>
      <vt:lpstr>'2010'!trim_five_a_1</vt:lpstr>
      <vt:lpstr>'2011'!trim_five_a_1</vt:lpstr>
      <vt:lpstr>'2012'!trim_five_a_1</vt:lpstr>
      <vt:lpstr>trim_five_a_1</vt:lpstr>
      <vt:lpstr>trim_five_a_10</vt:lpstr>
      <vt:lpstr>trim_five_a_11</vt:lpstr>
      <vt:lpstr>trim_five_a_2</vt:lpstr>
      <vt:lpstr>trim_five_a_3</vt:lpstr>
      <vt:lpstr>trim_five_a_4</vt:lpstr>
      <vt:lpstr>trim_five_a_5</vt:lpstr>
      <vt:lpstr>trim_five_a_7</vt:lpstr>
      <vt:lpstr>trim_five_a_8</vt:lpstr>
      <vt:lpstr>trim_five_a_9</vt:lpstr>
      <vt:lpstr>'2009'!trim_five_b_1</vt:lpstr>
      <vt:lpstr>'2010'!trim_five_b_1</vt:lpstr>
      <vt:lpstr>'2011'!trim_five_b_1</vt:lpstr>
      <vt:lpstr>'2012'!trim_five_b_1</vt:lpstr>
      <vt:lpstr>trim_five_b_1</vt:lpstr>
      <vt:lpstr>trim_five_b_10</vt:lpstr>
      <vt:lpstr>trim_five_b_11</vt:lpstr>
      <vt:lpstr>trim_five_b_2</vt:lpstr>
      <vt:lpstr>trim_five_b_3</vt:lpstr>
      <vt:lpstr>trim_five_b_4</vt:lpstr>
      <vt:lpstr>trim_five_b_5</vt:lpstr>
      <vt:lpstr>trim_five_b_7</vt:lpstr>
      <vt:lpstr>trim_five_b_8</vt:lpstr>
      <vt:lpstr>trim_five_b_9</vt:lpstr>
      <vt:lpstr>'2009'!trim_four_a_1</vt:lpstr>
      <vt:lpstr>'2010'!trim_four_a_1</vt:lpstr>
      <vt:lpstr>'2011'!trim_four_a_1</vt:lpstr>
      <vt:lpstr>'2012'!trim_four_a_1</vt:lpstr>
      <vt:lpstr>'2013'!trim_four_a_1</vt:lpstr>
      <vt:lpstr>'2014'!trim_four_a_1</vt:lpstr>
      <vt:lpstr>'2015'!trim_four_a_1</vt:lpstr>
      <vt:lpstr>trim_four_a_1</vt:lpstr>
      <vt:lpstr>trim_four_a_10</vt:lpstr>
      <vt:lpstr>trim_four_a_11</vt:lpstr>
      <vt:lpstr>trim_four_a_2</vt:lpstr>
      <vt:lpstr>trim_four_a_3</vt:lpstr>
      <vt:lpstr>trim_four_a_4</vt:lpstr>
      <vt:lpstr>trim_four_a_5</vt:lpstr>
      <vt:lpstr>trim_four_a_7</vt:lpstr>
      <vt:lpstr>trim_four_a_8</vt:lpstr>
      <vt:lpstr>trim_four_a_9</vt:lpstr>
      <vt:lpstr>'2009'!trim_four_b_1</vt:lpstr>
      <vt:lpstr>'2010'!trim_four_b_1</vt:lpstr>
      <vt:lpstr>'2011'!trim_four_b_1</vt:lpstr>
      <vt:lpstr>'2012'!trim_four_b_1</vt:lpstr>
      <vt:lpstr>'2013'!trim_four_b_1</vt:lpstr>
      <vt:lpstr>'2014'!trim_four_b_1</vt:lpstr>
      <vt:lpstr>'2015'!trim_four_b_1</vt:lpstr>
      <vt:lpstr>trim_four_b_1</vt:lpstr>
      <vt:lpstr>trim_four_b_10</vt:lpstr>
      <vt:lpstr>trim_four_b_11</vt:lpstr>
      <vt:lpstr>trim_four_b_2</vt:lpstr>
      <vt:lpstr>trim_four_b_3</vt:lpstr>
      <vt:lpstr>trim_four_b_4</vt:lpstr>
      <vt:lpstr>trim_four_b_5</vt:lpstr>
      <vt:lpstr>trim_four_b_7</vt:lpstr>
      <vt:lpstr>trim_four_b_8</vt:lpstr>
      <vt:lpstr>trim_four_b_9</vt:lpstr>
      <vt:lpstr>'2009'!trim_one_a_1</vt:lpstr>
      <vt:lpstr>'2010'!trim_one_a_1</vt:lpstr>
      <vt:lpstr>'2011'!trim_one_a_1</vt:lpstr>
      <vt:lpstr>'2012'!trim_one_a_1</vt:lpstr>
      <vt:lpstr>'2013'!trim_one_a_1</vt:lpstr>
      <vt:lpstr>'2014'!trim_one_a_1</vt:lpstr>
      <vt:lpstr>'2015'!trim_one_a_1</vt:lpstr>
      <vt:lpstr>trim_one_a_1</vt:lpstr>
      <vt:lpstr>trim_one_a_10</vt:lpstr>
      <vt:lpstr>trim_one_a_11</vt:lpstr>
      <vt:lpstr>trim_one_a_2</vt:lpstr>
      <vt:lpstr>trim_one_a_3</vt:lpstr>
      <vt:lpstr>trim_one_a_4</vt:lpstr>
      <vt:lpstr>trim_one_a_5</vt:lpstr>
      <vt:lpstr>trim_one_a_7</vt:lpstr>
      <vt:lpstr>trim_one_a_8</vt:lpstr>
      <vt:lpstr>trim_one_a_9</vt:lpstr>
      <vt:lpstr>'2009'!trim_one_b_1</vt:lpstr>
      <vt:lpstr>'2010'!trim_one_b_1</vt:lpstr>
      <vt:lpstr>'2011'!trim_one_b_1</vt:lpstr>
      <vt:lpstr>'2012'!trim_one_b_1</vt:lpstr>
      <vt:lpstr>'2013'!trim_one_b_1</vt:lpstr>
      <vt:lpstr>'2014'!trim_one_b_1</vt:lpstr>
      <vt:lpstr>'2015'!trim_one_b_1</vt:lpstr>
      <vt:lpstr>trim_one_b_1</vt:lpstr>
      <vt:lpstr>trim_one_b_10</vt:lpstr>
      <vt:lpstr>trim_one_b_11</vt:lpstr>
      <vt:lpstr>trim_one_b_2</vt:lpstr>
      <vt:lpstr>trim_one_b_3</vt:lpstr>
      <vt:lpstr>trim_one_b_4</vt:lpstr>
      <vt:lpstr>trim_one_b_5</vt:lpstr>
      <vt:lpstr>trim_one_b_7</vt:lpstr>
      <vt:lpstr>trim_one_b_8</vt:lpstr>
      <vt:lpstr>trim_one_b_9</vt:lpstr>
      <vt:lpstr>'2009'!trim_six_a_1</vt:lpstr>
      <vt:lpstr>'2010'!trim_six_a_1</vt:lpstr>
      <vt:lpstr>'2011'!trim_six_a_1</vt:lpstr>
      <vt:lpstr>'2012'!trim_six_a_1</vt:lpstr>
      <vt:lpstr>'2013'!trim_six_a_1</vt:lpstr>
      <vt:lpstr>'2014'!trim_six_a_1</vt:lpstr>
      <vt:lpstr>trim_six_a_1</vt:lpstr>
      <vt:lpstr>trim_six_a_10</vt:lpstr>
      <vt:lpstr>trim_six_a_11</vt:lpstr>
      <vt:lpstr>trim_six_a_2</vt:lpstr>
      <vt:lpstr>trim_six_a_3</vt:lpstr>
      <vt:lpstr>trim_six_a_4</vt:lpstr>
      <vt:lpstr>trim_six_a_5</vt:lpstr>
      <vt:lpstr>trim_six_a_7</vt:lpstr>
      <vt:lpstr>trim_six_a_8</vt:lpstr>
      <vt:lpstr>trim_six_a_9</vt:lpstr>
      <vt:lpstr>'2009'!trim_six_b_1</vt:lpstr>
      <vt:lpstr>'2010'!trim_six_b_1</vt:lpstr>
      <vt:lpstr>'2011'!trim_six_b_1</vt:lpstr>
      <vt:lpstr>'2012'!trim_six_b_1</vt:lpstr>
      <vt:lpstr>'2013'!trim_six_b_1</vt:lpstr>
      <vt:lpstr>'2014'!trim_six_b_1</vt:lpstr>
      <vt:lpstr>trim_six_b_1</vt:lpstr>
      <vt:lpstr>trim_six_b_10</vt:lpstr>
      <vt:lpstr>trim_six_b_11</vt:lpstr>
      <vt:lpstr>trim_six_b_2</vt:lpstr>
      <vt:lpstr>trim_six_b_3</vt:lpstr>
      <vt:lpstr>trim_six_b_4</vt:lpstr>
      <vt:lpstr>trim_six_b_5</vt:lpstr>
      <vt:lpstr>trim_six_b_7</vt:lpstr>
      <vt:lpstr>trim_six_b_8</vt:lpstr>
      <vt:lpstr>trim_six_b_9</vt:lpstr>
      <vt:lpstr>'2009'!trim_three_a_1</vt:lpstr>
      <vt:lpstr>'2010'!trim_three_a_1</vt:lpstr>
      <vt:lpstr>'2011'!trim_three_a_1</vt:lpstr>
      <vt:lpstr>'2012'!trim_three_a_1</vt:lpstr>
      <vt:lpstr>'2013'!trim_three_a_1</vt:lpstr>
      <vt:lpstr>'2014'!trim_three_a_1</vt:lpstr>
      <vt:lpstr>'2015'!trim_three_a_1</vt:lpstr>
      <vt:lpstr>'2016'!trim_three_a_1</vt:lpstr>
      <vt:lpstr>trim_three_a_1</vt:lpstr>
      <vt:lpstr>trim_three_a_10</vt:lpstr>
      <vt:lpstr>trim_three_a_11</vt:lpstr>
      <vt:lpstr>trim_three_a_2</vt:lpstr>
      <vt:lpstr>trim_three_a_3</vt:lpstr>
      <vt:lpstr>trim_three_a_4</vt:lpstr>
      <vt:lpstr>trim_three_a_5</vt:lpstr>
      <vt:lpstr>trim_three_a_7</vt:lpstr>
      <vt:lpstr>trim_three_a_8</vt:lpstr>
      <vt:lpstr>trim_three_a_9</vt:lpstr>
      <vt:lpstr>'2009'!trim_three_b_1</vt:lpstr>
      <vt:lpstr>'2010'!trim_three_b_1</vt:lpstr>
      <vt:lpstr>'2011'!trim_three_b_1</vt:lpstr>
      <vt:lpstr>'2012'!trim_three_b_1</vt:lpstr>
      <vt:lpstr>'2013'!trim_three_b_1</vt:lpstr>
      <vt:lpstr>'2014'!trim_three_b_1</vt:lpstr>
      <vt:lpstr>'2015'!trim_three_b_1</vt:lpstr>
      <vt:lpstr>'2016'!trim_three_b_1</vt:lpstr>
      <vt:lpstr>trim_three_b_1</vt:lpstr>
      <vt:lpstr>trim_three_b_10</vt:lpstr>
      <vt:lpstr>trim_three_b_11</vt:lpstr>
      <vt:lpstr>trim_three_b_2</vt:lpstr>
      <vt:lpstr>trim_three_b_3</vt:lpstr>
      <vt:lpstr>trim_three_b_4</vt:lpstr>
      <vt:lpstr>trim_three_b_5</vt:lpstr>
      <vt:lpstr>trim_three_b_7</vt:lpstr>
      <vt:lpstr>trim_three_b_8</vt:lpstr>
      <vt:lpstr>trim_three_b_9</vt:lpstr>
      <vt:lpstr>'2009'!trim_two_a_1</vt:lpstr>
      <vt:lpstr>'2010'!trim_two_a_1</vt:lpstr>
      <vt:lpstr>'2011'!trim_two_a_1</vt:lpstr>
      <vt:lpstr>'2012'!trim_two_a_1</vt:lpstr>
      <vt:lpstr>'2013'!trim_two_a_1</vt:lpstr>
      <vt:lpstr>'2014'!trim_two_a_1</vt:lpstr>
      <vt:lpstr>'2015'!trim_two_a_1</vt:lpstr>
      <vt:lpstr>'2016'!trim_two_a_1</vt:lpstr>
      <vt:lpstr>trim_two_a_1</vt:lpstr>
      <vt:lpstr>trim_two_a_10</vt:lpstr>
      <vt:lpstr>trim_two_a_11</vt:lpstr>
      <vt:lpstr>trim_two_a_2</vt:lpstr>
      <vt:lpstr>trim_two_a_3</vt:lpstr>
      <vt:lpstr>trim_two_a_4</vt:lpstr>
      <vt:lpstr>trim_two_a_5</vt:lpstr>
      <vt:lpstr>trim_two_a_7</vt:lpstr>
      <vt:lpstr>trim_two_a_8</vt:lpstr>
      <vt:lpstr>trim_two_a_9</vt:lpstr>
      <vt:lpstr>'2009'!trim_two_b_1</vt:lpstr>
      <vt:lpstr>'2010'!trim_two_b_1</vt:lpstr>
      <vt:lpstr>'2011'!trim_two_b_1</vt:lpstr>
      <vt:lpstr>'2012'!trim_two_b_1</vt:lpstr>
      <vt:lpstr>'2013'!trim_two_b_1</vt:lpstr>
      <vt:lpstr>'2014'!trim_two_b_1</vt:lpstr>
      <vt:lpstr>'2015'!trim_two_b_1</vt:lpstr>
      <vt:lpstr>'2016'!trim_two_b_1</vt:lpstr>
      <vt:lpstr>trim_two_b_1</vt:lpstr>
      <vt:lpstr>trim_two_b_10</vt:lpstr>
      <vt:lpstr>trim_two_b_11</vt:lpstr>
      <vt:lpstr>trim_two_b_2</vt:lpstr>
      <vt:lpstr>trim_two_b_3</vt:lpstr>
      <vt:lpstr>trim_two_b_4</vt:lpstr>
      <vt:lpstr>trim_two_b_5</vt:lpstr>
      <vt:lpstr>trim_two_b_7</vt:lpstr>
      <vt:lpstr>trim_two_b_8</vt:lpstr>
      <vt:lpstr>trim_two_b_9</vt:lpstr>
    </vt:vector>
  </TitlesOfParts>
  <Company>Amplexor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Roeland Hofkens</dc:creator>
  <cp:lastModifiedBy>Alison Donohoe</cp:lastModifiedBy>
  <cp:lastPrinted>2008-02-27T09:24:07Z</cp:lastPrinted>
  <dcterms:created xsi:type="dcterms:W3CDTF">2002-04-10T21:14:07Z</dcterms:created>
  <dcterms:modified xsi:type="dcterms:W3CDTF">2025-03-10T17:49:16Z</dcterms:modified>
</cp:coreProperties>
</file>